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2115" windowWidth="17895" windowHeight="7590"/>
  </bookViews>
  <sheets>
    <sheet name="bilans stanja" sheetId="1" r:id="rId1"/>
    <sheet name="bilans uspeha" sheetId="2" r:id="rId2"/>
    <sheet name="ostali rezultat" sheetId="3" r:id="rId3"/>
    <sheet name="tokovi gotovine" sheetId="4" r:id="rId4"/>
    <sheet name="promene na kapitalu" sheetId="6" r:id="rId5"/>
  </sheets>
  <definedNames>
    <definedName name="_xlnm.Print_Titles" localSheetId="1">'bilans uspeha'!$7:$8</definedName>
  </definedNames>
  <calcPr calcId="145621"/>
</workbook>
</file>

<file path=xl/calcChain.xml><?xml version="1.0" encoding="utf-8"?>
<calcChain xmlns="http://schemas.openxmlformats.org/spreadsheetml/2006/main">
  <c r="A41" i="6" l="1"/>
  <c r="A42" i="6" s="1"/>
  <c r="A43" i="6" s="1"/>
  <c r="A44" i="6" s="1"/>
  <c r="A45" i="6" s="1"/>
  <c r="A46" i="6" s="1"/>
  <c r="A28" i="6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27" i="6"/>
  <c r="A26" i="6"/>
  <c r="A16" i="6"/>
  <c r="A17" i="6" s="1"/>
  <c r="A18" i="6" s="1"/>
  <c r="A19" i="6" s="1"/>
  <c r="A20" i="6" s="1"/>
  <c r="A21" i="6" s="1"/>
  <c r="A22" i="6" s="1"/>
  <c r="A23" i="6" s="1"/>
  <c r="A6" i="6"/>
  <c r="A7" i="6" s="1"/>
  <c r="A8" i="6" s="1"/>
  <c r="A9" i="6" s="1"/>
  <c r="A10" i="6" s="1"/>
  <c r="A11" i="6" s="1"/>
  <c r="A12" i="6" s="1"/>
  <c r="A13" i="6" s="1"/>
  <c r="A14" i="6" s="1"/>
  <c r="A15" i="6" s="1"/>
  <c r="A5" i="6"/>
  <c r="F29" i="3" l="1"/>
  <c r="E29" i="3"/>
  <c r="N31" i="6" l="1"/>
  <c r="E82" i="1"/>
  <c r="E43" i="1" l="1"/>
  <c r="E104" i="2" l="1"/>
  <c r="E82" i="2"/>
  <c r="F39" i="4" l="1"/>
  <c r="E39" i="4"/>
  <c r="F104" i="2"/>
  <c r="F102" i="2"/>
  <c r="E102" i="2"/>
  <c r="F103" i="2"/>
  <c r="E103" i="2"/>
  <c r="F101" i="2"/>
  <c r="E101" i="2"/>
  <c r="E81" i="2"/>
  <c r="F70" i="2"/>
  <c r="E70" i="2"/>
  <c r="F72" i="2"/>
  <c r="E72" i="2"/>
  <c r="F51" i="2" l="1"/>
  <c r="F50" i="2"/>
  <c r="F23" i="2"/>
  <c r="F21" i="2"/>
  <c r="F20" i="2"/>
  <c r="N9" i="6" l="1"/>
  <c r="N32" i="6"/>
  <c r="X45" i="6"/>
  <c r="X44" i="6"/>
  <c r="X9" i="6"/>
  <c r="N10" i="6"/>
  <c r="N4" i="6"/>
  <c r="L4" i="6"/>
  <c r="L7" i="6" s="1"/>
  <c r="D4" i="6"/>
  <c r="F43" i="1" l="1"/>
  <c r="F41" i="1"/>
  <c r="F40" i="1"/>
  <c r="E61" i="1" l="1"/>
  <c r="E112" i="1"/>
  <c r="E113" i="1"/>
  <c r="E40" i="1"/>
  <c r="E41" i="1"/>
  <c r="E16" i="1"/>
  <c r="E14" i="1"/>
  <c r="F36" i="3" l="1"/>
  <c r="F35" i="3"/>
  <c r="E36" i="3"/>
  <c r="E35" i="3"/>
  <c r="E109" i="2"/>
  <c r="E20" i="2"/>
  <c r="G43" i="1"/>
  <c r="G42" i="1"/>
  <c r="G41" i="1"/>
  <c r="G40" i="1"/>
  <c r="G18" i="1"/>
  <c r="G16" i="1"/>
  <c r="F61" i="1"/>
  <c r="F42" i="1"/>
  <c r="F57" i="1"/>
  <c r="E87" i="1"/>
  <c r="E29" i="1"/>
  <c r="E38" i="3" l="1"/>
  <c r="E44" i="3" s="1"/>
  <c r="F38" i="3"/>
  <c r="F44" i="3" s="1"/>
  <c r="E21" i="2" l="1"/>
  <c r="E123" i="1"/>
  <c r="G61" i="1"/>
  <c r="E18" i="1" l="1"/>
  <c r="E17" i="1" s="1"/>
  <c r="Z43" i="6" l="1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8" i="6"/>
  <c r="Z27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6" i="6"/>
  <c r="Z5" i="6"/>
  <c r="Z4" i="6"/>
  <c r="X23" i="6"/>
  <c r="X22" i="6"/>
  <c r="X7" i="6"/>
  <c r="V45" i="6"/>
  <c r="V44" i="6"/>
  <c r="V23" i="6"/>
  <c r="V22" i="6"/>
  <c r="V7" i="6"/>
  <c r="T45" i="6"/>
  <c r="T44" i="6"/>
  <c r="T23" i="6"/>
  <c r="T22" i="6"/>
  <c r="R43" i="6"/>
  <c r="R42" i="6"/>
  <c r="AB42" i="6" s="1"/>
  <c r="R41" i="6"/>
  <c r="AB41" i="6" s="1"/>
  <c r="R40" i="6"/>
  <c r="R39" i="6"/>
  <c r="R38" i="6"/>
  <c r="AB38" i="6" s="1"/>
  <c r="R37" i="6"/>
  <c r="AB37" i="6" s="1"/>
  <c r="R36" i="6"/>
  <c r="R35" i="6"/>
  <c r="R34" i="6"/>
  <c r="AB34" i="6" s="1"/>
  <c r="R33" i="6"/>
  <c r="R32" i="6"/>
  <c r="R31" i="6"/>
  <c r="R30" i="6"/>
  <c r="AB30" i="6" s="1"/>
  <c r="R28" i="6"/>
  <c r="R27" i="6"/>
  <c r="R21" i="6"/>
  <c r="R20" i="6"/>
  <c r="AB20" i="6" s="1"/>
  <c r="R19" i="6"/>
  <c r="AB19" i="6" s="1"/>
  <c r="R18" i="6"/>
  <c r="R17" i="6"/>
  <c r="R16" i="6"/>
  <c r="R15" i="6"/>
  <c r="AB15" i="6" s="1"/>
  <c r="R14" i="6"/>
  <c r="R13" i="6"/>
  <c r="R12" i="6"/>
  <c r="AB12" i="6" s="1"/>
  <c r="R11" i="6"/>
  <c r="AB11" i="6" s="1"/>
  <c r="R10" i="6"/>
  <c r="R9" i="6"/>
  <c r="R8" i="6"/>
  <c r="R6" i="6"/>
  <c r="AB6" i="6" s="1"/>
  <c r="R5" i="6"/>
  <c r="R4" i="6"/>
  <c r="T7" i="6"/>
  <c r="P45" i="6"/>
  <c r="P44" i="6"/>
  <c r="P23" i="6"/>
  <c r="P22" i="6"/>
  <c r="P7" i="6"/>
  <c r="N45" i="6"/>
  <c r="N44" i="6"/>
  <c r="L45" i="6"/>
  <c r="L44" i="6"/>
  <c r="N23" i="6"/>
  <c r="N22" i="6"/>
  <c r="L23" i="6"/>
  <c r="L25" i="6" s="1"/>
  <c r="L26" i="6" s="1"/>
  <c r="L29" i="6" s="1"/>
  <c r="L22" i="6"/>
  <c r="N7" i="6"/>
  <c r="J45" i="6"/>
  <c r="J44" i="6"/>
  <c r="J23" i="6"/>
  <c r="J22" i="6"/>
  <c r="J7" i="6"/>
  <c r="H7" i="6"/>
  <c r="H45" i="6"/>
  <c r="H44" i="6"/>
  <c r="H29" i="6"/>
  <c r="H23" i="6"/>
  <c r="H22" i="6"/>
  <c r="F45" i="6"/>
  <c r="F44" i="6"/>
  <c r="D45" i="6"/>
  <c r="D44" i="6"/>
  <c r="F22" i="6"/>
  <c r="F23" i="6"/>
  <c r="F7" i="6"/>
  <c r="D23" i="6"/>
  <c r="D22" i="6"/>
  <c r="D7" i="6"/>
  <c r="AB5" i="6" l="1"/>
  <c r="AB10" i="6"/>
  <c r="AB14" i="6"/>
  <c r="AB18" i="6"/>
  <c r="AB27" i="6"/>
  <c r="AB36" i="6"/>
  <c r="AB40" i="6"/>
  <c r="V25" i="6"/>
  <c r="AB35" i="6"/>
  <c r="J25" i="6"/>
  <c r="J26" i="6" s="1"/>
  <c r="J29" i="6" s="1"/>
  <c r="F25" i="6"/>
  <c r="F26" i="6" s="1"/>
  <c r="F29" i="6" s="1"/>
  <c r="F46" i="6" s="1"/>
  <c r="P25" i="6"/>
  <c r="P26" i="6" s="1"/>
  <c r="P29" i="6" s="1"/>
  <c r="P46" i="6" s="1"/>
  <c r="AB28" i="6"/>
  <c r="AB33" i="6"/>
  <c r="AB21" i="6"/>
  <c r="AB39" i="6"/>
  <c r="AB43" i="6"/>
  <c r="V46" i="6"/>
  <c r="AB31" i="6"/>
  <c r="AB32" i="6"/>
  <c r="T25" i="6"/>
  <c r="T26" i="6" s="1"/>
  <c r="T29" i="6" s="1"/>
  <c r="Z45" i="6"/>
  <c r="Z44" i="6"/>
  <c r="AB17" i="6"/>
  <c r="Z23" i="6"/>
  <c r="AB16" i="6"/>
  <c r="R45" i="6"/>
  <c r="AB9" i="6"/>
  <c r="X25" i="6"/>
  <c r="X26" i="6" s="1"/>
  <c r="X29" i="6" s="1"/>
  <c r="X46" i="6" s="1"/>
  <c r="Z22" i="6"/>
  <c r="AB13" i="6"/>
  <c r="R22" i="6"/>
  <c r="N25" i="6"/>
  <c r="N26" i="6" s="1"/>
  <c r="N29" i="6" s="1"/>
  <c r="AB4" i="6"/>
  <c r="R44" i="6"/>
  <c r="H25" i="6"/>
  <c r="AB8" i="6"/>
  <c r="H46" i="6"/>
  <c r="Z7" i="6"/>
  <c r="R23" i="6"/>
  <c r="D25" i="6"/>
  <c r="D26" i="6" s="1"/>
  <c r="D29" i="6" s="1"/>
  <c r="D46" i="6" s="1"/>
  <c r="R7" i="6"/>
  <c r="L46" i="6"/>
  <c r="J46" i="6"/>
  <c r="R25" i="6" l="1"/>
  <c r="R26" i="6" s="1"/>
  <c r="R29" i="6" s="1"/>
  <c r="R46" i="6" s="1"/>
  <c r="AB23" i="6"/>
  <c r="AB22" i="6"/>
  <c r="AB44" i="6"/>
  <c r="AB45" i="6"/>
  <c r="Z25" i="6"/>
  <c r="Z26" i="6" s="1"/>
  <c r="Z29" i="6" s="1"/>
  <c r="Z46" i="6" s="1"/>
  <c r="N46" i="6"/>
  <c r="AB7" i="6"/>
  <c r="AB25" i="6" s="1"/>
  <c r="AB26" i="6" s="1"/>
  <c r="AB29" i="6" s="1"/>
  <c r="T46" i="6"/>
  <c r="E51" i="2"/>
  <c r="E50" i="2"/>
  <c r="AB46" i="6" l="1"/>
  <c r="E22" i="2"/>
  <c r="G87" i="1" l="1"/>
  <c r="F91" i="2" l="1"/>
  <c r="E91" i="2"/>
  <c r="F86" i="2"/>
  <c r="E86" i="2"/>
  <c r="F76" i="2"/>
  <c r="E76" i="2"/>
  <c r="E74" i="2" s="1"/>
  <c r="F64" i="2"/>
  <c r="F62" i="2" s="1"/>
  <c r="E64" i="2"/>
  <c r="E62" i="2" s="1"/>
  <c r="F45" i="2"/>
  <c r="E45" i="2"/>
  <c r="F44" i="2"/>
  <c r="E44" i="2"/>
  <c r="F36" i="2"/>
  <c r="E36" i="2"/>
  <c r="F27" i="2"/>
  <c r="E27" i="2"/>
  <c r="F19" i="2"/>
  <c r="E19" i="2"/>
  <c r="F12" i="2"/>
  <c r="E12" i="2"/>
  <c r="E26" i="2" l="1"/>
  <c r="E85" i="2"/>
  <c r="F11" i="2"/>
  <c r="F85" i="2"/>
  <c r="F74" i="2"/>
  <c r="F84" i="2" s="1"/>
  <c r="F26" i="2"/>
  <c r="E11" i="2"/>
  <c r="E84" i="2"/>
  <c r="F17" i="4"/>
  <c r="E17" i="4"/>
  <c r="F49" i="4"/>
  <c r="E49" i="4"/>
  <c r="F43" i="4"/>
  <c r="E43" i="4"/>
  <c r="F36" i="4"/>
  <c r="E36" i="4"/>
  <c r="E41" i="4" s="1"/>
  <c r="F30" i="4"/>
  <c r="E30" i="4"/>
  <c r="F11" i="4"/>
  <c r="E11" i="4"/>
  <c r="F60" i="2" l="1"/>
  <c r="F41" i="4"/>
  <c r="F60" i="4"/>
  <c r="E59" i="2"/>
  <c r="E98" i="2" s="1"/>
  <c r="E60" i="2"/>
  <c r="E99" i="2" s="1"/>
  <c r="F59" i="2"/>
  <c r="E60" i="4"/>
  <c r="F57" i="4"/>
  <c r="E57" i="4"/>
  <c r="E59" i="4"/>
  <c r="F27" i="4"/>
  <c r="F59" i="4"/>
  <c r="E28" i="4"/>
  <c r="F80" i="1"/>
  <c r="F55" i="1"/>
  <c r="F29" i="1"/>
  <c r="F18" i="1"/>
  <c r="F16" i="1"/>
  <c r="F98" i="2" l="1"/>
  <c r="F99" i="2"/>
  <c r="E108" i="2"/>
  <c r="E111" i="2" s="1"/>
  <c r="E62" i="4"/>
  <c r="E66" i="4"/>
  <c r="F61" i="4"/>
  <c r="F66" i="4" s="1"/>
  <c r="E112" i="2" l="1"/>
  <c r="E120" i="2" s="1"/>
  <c r="F108" i="2"/>
  <c r="G107" i="1"/>
  <c r="G106" i="1" s="1"/>
  <c r="F107" i="1"/>
  <c r="F106" i="1" s="1"/>
  <c r="E107" i="1"/>
  <c r="E106" i="1" s="1"/>
  <c r="E80" i="1"/>
  <c r="E78" i="1" s="1"/>
  <c r="E57" i="1"/>
  <c r="E55" i="1"/>
  <c r="E48" i="1"/>
  <c r="E46" i="1" s="1"/>
  <c r="G124" i="1"/>
  <c r="F124" i="1"/>
  <c r="E124" i="1"/>
  <c r="G121" i="1"/>
  <c r="F121" i="1"/>
  <c r="E121" i="1"/>
  <c r="G116" i="1"/>
  <c r="F116" i="1"/>
  <c r="E116" i="1"/>
  <c r="G100" i="1"/>
  <c r="F100" i="1"/>
  <c r="E100" i="1"/>
  <c r="G93" i="1"/>
  <c r="F93" i="1"/>
  <c r="E93" i="1"/>
  <c r="F87" i="1"/>
  <c r="G84" i="1"/>
  <c r="F84" i="1"/>
  <c r="E84" i="1"/>
  <c r="G78" i="1"/>
  <c r="F78" i="1"/>
  <c r="G72" i="1"/>
  <c r="F72" i="1"/>
  <c r="E72" i="1"/>
  <c r="G62" i="1"/>
  <c r="F62" i="1"/>
  <c r="E62" i="1"/>
  <c r="G59" i="1"/>
  <c r="F59" i="1"/>
  <c r="E59" i="1"/>
  <c r="G50" i="1"/>
  <c r="F50" i="1"/>
  <c r="E50" i="1"/>
  <c r="G46" i="1"/>
  <c r="F46" i="1"/>
  <c r="G39" i="1"/>
  <c r="F39" i="1"/>
  <c r="G27" i="1"/>
  <c r="G26" i="1" s="1"/>
  <c r="F27" i="1"/>
  <c r="F26" i="1" s="1"/>
  <c r="E27" i="1"/>
  <c r="E26" i="1" s="1"/>
  <c r="G22" i="1"/>
  <c r="F22" i="1"/>
  <c r="E22" i="1"/>
  <c r="F17" i="1"/>
  <c r="G71" i="1" l="1"/>
  <c r="E71" i="1"/>
  <c r="G21" i="1"/>
  <c r="G13" i="1" s="1"/>
  <c r="G45" i="1"/>
  <c r="G38" i="1" s="1"/>
  <c r="G35" i="1" s="1"/>
  <c r="E45" i="1"/>
  <c r="E117" i="2"/>
  <c r="F112" i="2"/>
  <c r="F111" i="2"/>
  <c r="E39" i="1"/>
  <c r="E115" i="1"/>
  <c r="E92" i="1" s="1"/>
  <c r="G115" i="1"/>
  <c r="G92" i="1" s="1"/>
  <c r="F21" i="1"/>
  <c r="F13" i="1" s="1"/>
  <c r="F115" i="1"/>
  <c r="F92" i="1" s="1"/>
  <c r="F71" i="1"/>
  <c r="F45" i="1"/>
  <c r="F38" i="1" s="1"/>
  <c r="F35" i="1" s="1"/>
  <c r="E21" i="1"/>
  <c r="E13" i="1" s="1"/>
  <c r="F117" i="2" l="1"/>
  <c r="F120" i="2"/>
  <c r="E38" i="1"/>
  <c r="E35" i="1" s="1"/>
  <c r="E66" i="1" s="1"/>
  <c r="F66" i="1"/>
  <c r="G130" i="1"/>
  <c r="E130" i="1"/>
  <c r="F130" i="1"/>
  <c r="G66" i="1"/>
</calcChain>
</file>

<file path=xl/comments1.xml><?xml version="1.0" encoding="utf-8"?>
<comments xmlns="http://schemas.openxmlformats.org/spreadsheetml/2006/main">
  <authors>
    <author>r.cvijic</author>
  </authors>
  <commentList>
    <comment ref="F79" authorId="0">
      <text>
        <r>
          <rPr>
            <b/>
            <sz val="9"/>
            <color indexed="81"/>
            <rFont val="Tahoma"/>
            <family val="2"/>
            <charset val="238"/>
          </rPr>
          <t>r.cvijic:</t>
        </r>
        <r>
          <rPr>
            <sz val="9"/>
            <color indexed="81"/>
            <rFont val="Tahoma"/>
            <family val="2"/>
            <charset val="238"/>
          </rPr>
          <t xml:space="preserve">
univerzal banka
</t>
        </r>
      </text>
    </comment>
  </commentList>
</comments>
</file>

<file path=xl/sharedStrings.xml><?xml version="1.0" encoding="utf-8"?>
<sst xmlns="http://schemas.openxmlformats.org/spreadsheetml/2006/main" count="1605" uniqueCount="1255">
  <si>
    <t xml:space="preserve"> напомена</t>
  </si>
  <si>
    <t xml:space="preserve">                  Претходна година</t>
  </si>
  <si>
    <t>IV. НЕКРЕТНИНЕ, ПОСТРОЈЕЊА И ОПРЕМА (0007 + 0008)</t>
  </si>
  <si>
    <t>У__________________,                                                                                                                                                   Законски заступник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</si>
  <si>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</si>
  <si>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</si>
  <si>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t>У___________                                                                                                                                                      Законски   заступник</t>
  </si>
  <si>
    <t>3. Остали финансијски пласмани - депоновања и улагања (нето oдливи)</t>
  </si>
  <si>
    <t>У Београду ,                                                                                                                                          Законски заступник</t>
  </si>
  <si>
    <t>дана________________</t>
  </si>
  <si>
    <r>
      <rPr>
        <sz val="8"/>
        <rFont val="Arial"/>
        <family val="2"/>
        <charset val="238"/>
      </rPr>
      <t>Исправка материјално значајних грешака и промене рачуноводствених политика -повећање позиције</t>
    </r>
  </si>
  <si>
    <r>
      <rPr>
        <sz val="8"/>
        <rFont val="Arial"/>
        <family val="2"/>
        <charset val="238"/>
      </rPr>
      <t>Исправка материјално значајних грешака и промене рачуноводствених политика -смањење позиције</t>
    </r>
  </si>
  <si>
    <r>
      <rPr>
        <sz val="8"/>
        <rFont val="Arial"/>
        <family val="2"/>
        <charset val="238"/>
      </rPr>
      <t>Емисије акција</t>
    </r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</si>
  <si>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</si>
  <si>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</si>
  <si>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</si>
  <si>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</si>
  <si>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</si>
  <si>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</si>
  <si>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</si>
  <si>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r>
      <rPr>
        <b/>
        <sz val="8"/>
        <rFont val="Arial"/>
        <family val="2"/>
        <charset val="238"/>
      </rPr>
      <t>Почетно стање или стање на дан 1. јануара претходне године</t>
    </r>
  </si>
  <si>
    <r>
      <rPr>
        <b/>
        <sz val="8"/>
        <rFont val="Arial"/>
        <family val="2"/>
        <charset val="238"/>
      </rPr>
      <t>Кориговано почетно стање или стање на дан 1. јануара претходне године (редни бр. 1 + 2 - 3)</t>
    </r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</si>
  <si>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</si>
  <si>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</si>
  <si>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r>
      <rPr>
        <u/>
        <sz val="7"/>
        <rFont val="Arial"/>
        <family val="2"/>
        <charset val="238"/>
      </rPr>
      <t>(у хиљадама динара)</t>
    </r>
  </si>
  <si>
    <t>Група рачуна, рачун</t>
  </si>
  <si>
    <t>Позиција</t>
  </si>
  <si>
    <t>Износ</t>
  </si>
  <si>
    <t>Текућа година</t>
  </si>
  <si>
    <t>Крајње стање</t>
  </si>
  <si>
    <t>Почетно стање</t>
  </si>
  <si>
    <r>
      <rPr>
        <sz val="9"/>
        <rFont val="Arial"/>
        <family val="2"/>
        <charset val="238"/>
      </rPr>
      <t>1</t>
    </r>
  </si>
  <si>
    <r>
      <rPr>
        <sz val="9"/>
        <rFont val="Arial"/>
        <family val="2"/>
        <charset val="238"/>
      </rPr>
      <t>2</t>
    </r>
  </si>
  <si>
    <r>
      <rPr>
        <sz val="9"/>
        <rFont val="Arial"/>
        <family val="2"/>
        <charset val="238"/>
      </rPr>
      <t>3</t>
    </r>
  </si>
  <si>
    <r>
      <rPr>
        <sz val="9"/>
        <rFont val="Arial"/>
        <family val="2"/>
        <charset val="238"/>
      </rPr>
      <t>4</t>
    </r>
  </si>
  <si>
    <r>
      <rPr>
        <sz val="9"/>
        <rFont val="Arial"/>
        <family val="2"/>
        <charset val="238"/>
      </rPr>
      <t>5</t>
    </r>
  </si>
  <si>
    <r>
      <rPr>
        <sz val="9"/>
        <rFont val="Arial"/>
        <family val="2"/>
        <charset val="238"/>
      </rPr>
      <t>6</t>
    </r>
  </si>
  <si>
    <r>
      <rPr>
        <sz val="9"/>
        <rFont val="Arial"/>
        <family val="2"/>
        <charset val="238"/>
      </rPr>
      <t>7</t>
    </r>
  </si>
  <si>
    <r>
      <rPr>
        <sz val="7"/>
        <rFont val="Arial"/>
        <family val="2"/>
        <charset val="238"/>
      </rPr>
      <t>00</t>
    </r>
  </si>
  <si>
    <r>
      <rPr>
        <sz val="7"/>
        <rFont val="Arial"/>
        <family val="2"/>
        <charset val="238"/>
      </rPr>
      <t>01, осим 012, 013 и дела 019</t>
    </r>
  </si>
  <si>
    <r>
      <rPr>
        <sz val="7"/>
        <rFont val="Arial"/>
        <family val="2"/>
        <charset val="238"/>
      </rPr>
      <t>012, део 019</t>
    </r>
  </si>
  <si>
    <r>
      <rPr>
        <sz val="7"/>
        <rFont val="Arial"/>
        <family val="2"/>
        <charset val="238"/>
      </rPr>
      <t>013, део 019</t>
    </r>
  </si>
  <si>
    <r>
      <rPr>
        <sz val="7"/>
        <rFont val="Arial"/>
        <family val="2"/>
        <charset val="238"/>
      </rPr>
      <t>02, осим 021, дела 027, дела 028 и дела 029</t>
    </r>
  </si>
  <si>
    <r>
      <rPr>
        <sz val="7"/>
        <rFont val="Arial"/>
        <family val="2"/>
        <charset val="238"/>
      </rPr>
      <t>020, 022, 023, 025, 026, део 027, део 028, део 029</t>
    </r>
  </si>
  <si>
    <r>
      <rPr>
        <sz val="7"/>
        <rFont val="Arial"/>
        <family val="2"/>
        <charset val="238"/>
      </rPr>
      <t>024, део 027, део 028, део 029</t>
    </r>
  </si>
  <si>
    <r>
      <rPr>
        <sz val="7"/>
        <rFont val="Arial"/>
        <family val="2"/>
        <charset val="238"/>
      </rPr>
      <t>021, део 027, део 028, део 029</t>
    </r>
  </si>
  <si>
    <r>
      <rPr>
        <sz val="7"/>
        <rFont val="Arial"/>
        <family val="2"/>
        <charset val="238"/>
      </rPr>
      <t>03, осим 037</t>
    </r>
  </si>
  <si>
    <r>
      <rPr>
        <sz val="7"/>
        <rFont val="Arial"/>
        <family val="2"/>
        <charset val="238"/>
      </rPr>
      <t>030, део 039</t>
    </r>
  </si>
  <si>
    <r>
      <rPr>
        <sz val="7"/>
        <rFont val="Arial"/>
        <family val="2"/>
        <charset val="238"/>
      </rPr>
      <t>031, део 039</t>
    </r>
  </si>
  <si>
    <r>
      <rPr>
        <sz val="7"/>
        <rFont val="Arial"/>
        <family val="2"/>
        <charset val="238"/>
      </rPr>
      <t>део 038, део 039</t>
    </r>
  </si>
  <si>
    <r>
      <rPr>
        <sz val="7"/>
        <rFont val="Arial"/>
        <family val="2"/>
        <charset val="238"/>
      </rPr>
      <t>036, део 039</t>
    </r>
  </si>
  <si>
    <r>
      <rPr>
        <sz val="7"/>
        <rFont val="Arial"/>
        <family val="2"/>
        <charset val="238"/>
      </rPr>
      <t>део 036, део 039</t>
    </r>
  </si>
  <si>
    <r>
      <rPr>
        <sz val="7"/>
        <rFont val="Arial"/>
        <family val="2"/>
        <charset val="238"/>
      </rPr>
      <t>033, део 039</t>
    </r>
  </si>
  <si>
    <r>
      <rPr>
        <sz val="7"/>
        <rFont val="Arial"/>
        <family val="2"/>
        <charset val="238"/>
      </rPr>
      <t>04, осим 040</t>
    </r>
  </si>
  <si>
    <r>
      <rPr>
        <sz val="7"/>
        <rFont val="Arial"/>
        <family val="2"/>
        <charset val="238"/>
      </rPr>
      <t>040</t>
    </r>
  </si>
  <si>
    <r>
      <rPr>
        <sz val="7"/>
        <rFont val="Arial"/>
        <family val="2"/>
        <charset val="238"/>
      </rPr>
      <t>10, 13, 15</t>
    </r>
  </si>
  <si>
    <r>
      <rPr>
        <sz val="7"/>
        <rFont val="Arial"/>
        <family val="2"/>
        <charset val="238"/>
      </rPr>
      <t>14</t>
    </r>
  </si>
  <si>
    <r>
      <rPr>
        <sz val="7"/>
        <rFont val="Arial"/>
        <family val="2"/>
        <charset val="238"/>
      </rPr>
      <t>део 20, део 21</t>
    </r>
  </si>
  <si>
    <r>
      <rPr>
        <sz val="7"/>
        <rFont val="Arial"/>
        <family val="2"/>
        <charset val="238"/>
      </rPr>
      <t>део 21</t>
    </r>
  </si>
  <si>
    <r>
      <rPr>
        <sz val="7"/>
        <rFont val="Arial"/>
        <family val="2"/>
        <charset val="238"/>
      </rPr>
      <t>22, осим 223</t>
    </r>
  </si>
  <si>
    <r>
      <rPr>
        <sz val="7"/>
        <rFont val="Arial"/>
        <family val="2"/>
        <charset val="238"/>
      </rPr>
      <t>223</t>
    </r>
  </si>
  <si>
    <r>
      <rPr>
        <sz val="7"/>
        <rFont val="Arial"/>
        <family val="2"/>
        <charset val="238"/>
      </rPr>
      <t>233, део 239</t>
    </r>
  </si>
  <si>
    <r>
      <rPr>
        <sz val="7"/>
        <rFont val="Arial"/>
        <family val="2"/>
        <charset val="238"/>
      </rPr>
      <t>део 233, део 239</t>
    </r>
  </si>
  <si>
    <r>
      <rPr>
        <sz val="7"/>
        <rFont val="Arial"/>
        <family val="2"/>
        <charset val="238"/>
      </rPr>
      <t>236, део 239</t>
    </r>
  </si>
  <si>
    <r>
      <rPr>
        <sz val="7"/>
        <rFont val="Arial"/>
        <family val="2"/>
        <charset val="238"/>
      </rPr>
      <t>део 236, део 239</t>
    </r>
  </si>
  <si>
    <r>
      <rPr>
        <sz val="7"/>
        <rFont val="Arial"/>
        <family val="2"/>
        <charset val="238"/>
      </rPr>
      <t>232, део 239</t>
    </r>
  </si>
  <si>
    <r>
      <rPr>
        <sz val="7"/>
        <rFont val="Arial"/>
        <family val="2"/>
        <charset val="238"/>
      </rPr>
      <t>235, 238, део 239</t>
    </r>
  </si>
  <si>
    <r>
      <rPr>
        <sz val="7"/>
        <rFont val="Arial"/>
        <family val="2"/>
        <charset val="238"/>
      </rPr>
      <t>24</t>
    </r>
  </si>
  <si>
    <r>
      <rPr>
        <sz val="7"/>
        <rFont val="Arial"/>
        <family val="2"/>
        <charset val="238"/>
      </rPr>
      <t>26</t>
    </r>
  </si>
  <si>
    <r>
      <rPr>
        <sz val="7"/>
        <rFont val="Arial"/>
        <family val="2"/>
        <charset val="238"/>
      </rPr>
      <t>274</t>
    </r>
  </si>
  <si>
    <r>
      <rPr>
        <sz val="7"/>
        <rFont val="Arial"/>
        <family val="2"/>
        <charset val="238"/>
      </rPr>
      <t>270, 271, 272, 273, 279</t>
    </r>
  </si>
  <si>
    <r>
      <rPr>
        <sz val="7"/>
        <rFont val="Arial"/>
        <family val="2"/>
        <charset val="238"/>
      </rPr>
      <t>275</t>
    </r>
  </si>
  <si>
    <r>
      <rPr>
        <sz val="7"/>
        <rFont val="Arial"/>
        <family val="2"/>
        <charset val="238"/>
      </rPr>
      <t>276</t>
    </r>
  </si>
  <si>
    <r>
      <rPr>
        <sz val="7"/>
        <rFont val="Arial"/>
        <family val="2"/>
        <charset val="238"/>
      </rPr>
      <t>277</t>
    </r>
  </si>
  <si>
    <r>
      <rPr>
        <sz val="7"/>
        <rFont val="Arial"/>
        <family val="2"/>
        <charset val="238"/>
      </rPr>
      <t>88</t>
    </r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</si>
  <si>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</si>
  <si>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</si>
  <si>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</si>
  <si>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</si>
  <si>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</si>
  <si>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300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</si>
  <si>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</si>
  <si>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</si>
  <si>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</si>
  <si>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</si>
  <si>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</si>
  <si>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</si>
  <si>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</si>
  <si>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</si>
  <si>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</si>
  <si>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</si>
  <si>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</si>
  <si>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</si>
  <si>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</si>
  <si>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</si>
  <si>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</si>
  <si>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</si>
  <si>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</si>
  <si>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</si>
  <si>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</si>
  <si>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</si>
  <si>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</si>
  <si>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</si>
  <si>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</si>
  <si>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</si>
  <si>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</si>
  <si>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</si>
  <si>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</si>
  <si>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</si>
  <si>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</si>
  <si>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</si>
  <si>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</si>
  <si>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</si>
  <si>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</si>
  <si>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</si>
  <si>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</si>
  <si>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</si>
  <si>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</si>
  <si>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</si>
  <si>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</si>
  <si>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</si>
  <si>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</si>
  <si>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</si>
  <si>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</si>
  <si>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</si>
  <si>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</si>
  <si>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</si>
  <si>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</si>
  <si>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</si>
  <si>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</si>
  <si>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</si>
  <si>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</si>
  <si>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</si>
  <si>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</si>
  <si>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</si>
  <si>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</si>
  <si>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</si>
  <si>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</si>
  <si>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</si>
  <si>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</si>
  <si>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</si>
  <si>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</si>
  <si>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</si>
  <si>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</si>
  <si>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</si>
  <si>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</si>
  <si>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</si>
  <si>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</si>
  <si>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</si>
  <si>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</si>
  <si>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</si>
  <si>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</si>
  <si>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</si>
  <si>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</si>
  <si>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</si>
  <si>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</si>
  <si>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</si>
  <si>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</si>
  <si>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</si>
  <si>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</si>
  <si>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</si>
  <si>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</si>
  <si>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</si>
  <si>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</si>
  <si>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</si>
  <si>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</si>
  <si>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</si>
  <si>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</si>
  <si>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</si>
  <si>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</si>
  <si>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</si>
  <si>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</si>
  <si>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</si>
  <si>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</si>
  <si>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</si>
  <si>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</si>
  <si>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</si>
  <si>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</si>
  <si>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</si>
  <si>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</si>
  <si>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</si>
  <si>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</si>
  <si>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</si>
  <si>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</si>
  <si>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</si>
  <si>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</si>
  <si>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</si>
  <si>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</si>
  <si>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</si>
  <si>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</si>
  <si>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</si>
  <si>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</si>
  <si>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</si>
  <si>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</si>
  <si>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</si>
  <si>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</si>
  <si>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</si>
  <si>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</si>
  <si>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</si>
  <si>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</si>
  <si>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</si>
  <si>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</si>
  <si>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</si>
  <si>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</si>
  <si>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</si>
  <si>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</si>
  <si>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</si>
  <si>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</si>
  <si>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</si>
  <si>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</si>
  <si>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</si>
  <si>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</si>
  <si>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</si>
  <si>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</si>
  <si>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</si>
  <si>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</si>
  <si>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</si>
  <si>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</si>
  <si>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</si>
  <si>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</si>
  <si>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</si>
  <si>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</si>
  <si>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</si>
  <si>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</si>
  <si>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</si>
  <si>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</si>
  <si>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</si>
  <si>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</si>
  <si>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</si>
  <si>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</si>
  <si>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</si>
  <si>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</si>
  <si>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</si>
  <si>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</si>
  <si>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</si>
  <si>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</si>
  <si>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</si>
  <si>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</si>
  <si>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</si>
  <si>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</si>
  <si>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</si>
  <si>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</si>
  <si>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</si>
  <si>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</si>
  <si>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</si>
  <si>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</si>
  <si>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</si>
  <si>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</si>
  <si>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</si>
  <si>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</si>
  <si>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</si>
  <si>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</si>
  <si>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</si>
  <si>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</si>
  <si>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</si>
  <si>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</si>
  <si>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</si>
  <si>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</si>
  <si>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</si>
  <si>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</si>
  <si>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</si>
  <si>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</si>
  <si>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</si>
  <si>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</si>
  <si>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</si>
  <si>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</si>
  <si>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</si>
  <si>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</si>
  <si>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</si>
  <si>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</si>
  <si>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</si>
  <si>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</si>
  <si>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</si>
  <si>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</si>
  <si>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</si>
  <si>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</si>
  <si>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</si>
  <si>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</si>
  <si>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</si>
  <si>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</si>
  <si>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</si>
  <si>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</si>
  <si>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</si>
  <si>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</si>
  <si>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</si>
  <si>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</si>
  <si>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</si>
  <si>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</si>
  <si>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</si>
  <si>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</si>
  <si>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</si>
  <si>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</si>
  <si>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</si>
  <si>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</si>
  <si>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</si>
  <si>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</si>
  <si>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</si>
  <si>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</si>
  <si>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</si>
  <si>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</si>
  <si>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</si>
  <si>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</si>
  <si>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</si>
  <si>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</si>
  <si>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</si>
  <si>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дана</t>
  </si>
  <si>
    <r>
      <rPr>
        <b/>
        <sz val="12"/>
        <rFont val="Arial"/>
        <family val="2"/>
        <charset val="238"/>
      </rPr>
      <t>ИЗВЕШТАЈ О ОСТАЛОМ РЕЗУЛТАТУ</t>
    </r>
  </si>
  <si>
    <r>
      <rPr>
        <sz val="7"/>
        <rFont val="Arial"/>
        <family val="2"/>
        <charset val="238"/>
      </rPr>
      <t>339</t>
    </r>
  </si>
  <si>
    <r>
      <rPr>
        <sz val="7"/>
        <rFont val="Arial"/>
        <family val="2"/>
        <charset val="238"/>
      </rPr>
      <t>2. Остали нереализовани губици</t>
    </r>
  </si>
  <si>
    <r>
      <rPr>
        <sz val="7"/>
        <rFont val="Arial"/>
        <family val="2"/>
        <charset val="238"/>
      </rPr>
      <t>IV. ОСТАЛИ БРУТО СВЕОБУХВАТНИ ДОБИТАК (2003 + 2005 + 2007 + 2009+2011 +2013+2015+2017+2019)</t>
    </r>
  </si>
  <si>
    <r>
      <rPr>
        <sz val="7"/>
        <rFont val="Arial"/>
        <family val="2"/>
        <charset val="238"/>
      </rPr>
      <t>V. ОСТАЛИ БРУТО СВЕОБУХВАТНИ ГУБИТАК (2004 + 2006 + 2008 + 2010 + 2012 + 2014 + 2016 + 2018 + 2020)</t>
    </r>
  </si>
  <si>
    <r>
      <rPr>
        <sz val="7"/>
        <rFont val="Arial"/>
        <family val="2"/>
        <charset val="238"/>
      </rPr>
      <t>VI. ПОРЕЗ НА ОСТАЛИ СВЕОБУХВАТНИ ДОБИТАК ИЛИ ГУБИТАК ПЕРИОДА(ОБРАЧУНСКИ)</t>
    </r>
  </si>
  <si>
    <r>
      <rPr>
        <sz val="7"/>
        <rFont val="Arial"/>
        <family val="2"/>
        <charset val="238"/>
      </rPr>
      <t>VII. НЕТО ОСТАЛИ СВЕОБУХВАТНИ ДОБИТАК (2021 - 2022 - 2023) &gt; 0</t>
    </r>
  </si>
  <si>
    <r>
      <rPr>
        <sz val="7"/>
        <rFont val="Arial"/>
        <family val="2"/>
        <charset val="238"/>
      </rPr>
      <t>VIII. НЕТО ОСТАЛИ СВЕОБУХВАТНИ ГУБИТАК (2021 - 2022 - 2023) &lt; 0</t>
    </r>
  </si>
  <si>
    <r>
      <rPr>
        <sz val="9"/>
        <rFont val="Arial"/>
        <family val="2"/>
        <charset val="238"/>
      </rPr>
      <t>В. УКУПАН НЕТО СВЕОБУХВАТНИ РЕЗУЛТАТ ПЕРИОДА</t>
    </r>
  </si>
  <si>
    <r>
      <rPr>
        <sz val="7"/>
        <rFont val="Arial"/>
        <family val="2"/>
        <charset val="238"/>
      </rPr>
      <t>I. УКУПАН НЕТО СВЕОБУХВАТНИ ДОБИТАК (2001 + 2024 - 2002 - 2025) &gt; 0</t>
    </r>
  </si>
  <si>
    <r>
      <rPr>
        <sz val="7"/>
        <rFont val="Arial"/>
        <family val="2"/>
        <charset val="238"/>
      </rPr>
      <t>1. Приписан већинским власницима капитала</t>
    </r>
  </si>
  <si>
    <r>
      <rPr>
        <sz val="7"/>
        <rFont val="Arial"/>
        <family val="2"/>
        <charset val="238"/>
      </rPr>
      <t>2. Приписан власницима који немају контролу</t>
    </r>
  </si>
  <si>
    <r>
      <rPr>
        <sz val="7"/>
        <rFont val="Arial"/>
        <family val="2"/>
        <charset val="238"/>
      </rPr>
      <t>II. УКУПАН НЕТО СВЕОБУХВАТНИ ГУБИТАК (2001 + 2024 - 2002 - 2025) &lt; 0</t>
    </r>
  </si>
  <si>
    <r>
      <rPr>
        <sz val="9"/>
        <rFont val="Arial"/>
        <family val="2"/>
        <charset val="238"/>
      </rPr>
      <t>У_,    Законскизаступник</t>
    </r>
  </si>
  <si>
    <r>
      <rPr>
        <sz val="9"/>
        <rFont val="Arial"/>
        <family val="2"/>
        <charset val="238"/>
      </rPr>
      <t>дана___</t>
    </r>
  </si>
  <si>
    <r>
      <rPr>
        <sz val="9"/>
        <rFont val="Arial"/>
        <family val="2"/>
        <charset val="238"/>
      </rPr>
      <t>3001</t>
    </r>
  </si>
  <si>
    <r>
      <rPr>
        <sz val="9"/>
        <rFont val="Arial"/>
        <family val="2"/>
        <charset val="238"/>
      </rPr>
      <t>3002</t>
    </r>
  </si>
  <si>
    <r>
      <rPr>
        <sz val="9"/>
        <rFont val="Arial"/>
        <family val="2"/>
        <charset val="238"/>
      </rPr>
      <t>3003</t>
    </r>
  </si>
  <si>
    <r>
      <rPr>
        <sz val="9"/>
        <rFont val="Arial"/>
        <family val="2"/>
        <charset val="238"/>
      </rPr>
      <t>3004</t>
    </r>
  </si>
  <si>
    <r>
      <rPr>
        <sz val="9"/>
        <rFont val="Arial"/>
        <family val="2"/>
        <charset val="238"/>
      </rPr>
      <t>3005</t>
    </r>
  </si>
  <si>
    <r>
      <rPr>
        <sz val="9"/>
        <rFont val="Arial"/>
        <family val="2"/>
        <charset val="238"/>
      </rPr>
      <t>3006</t>
    </r>
  </si>
  <si>
    <r>
      <rPr>
        <sz val="9"/>
        <rFont val="Arial"/>
        <family val="2"/>
        <charset val="238"/>
      </rPr>
      <t>3007</t>
    </r>
  </si>
  <si>
    <r>
      <rPr>
        <sz val="9"/>
        <rFont val="Arial"/>
        <family val="2"/>
        <charset val="238"/>
      </rPr>
      <t>3008</t>
    </r>
  </si>
  <si>
    <r>
      <rPr>
        <sz val="9"/>
        <rFont val="Arial"/>
        <family val="2"/>
        <charset val="238"/>
      </rPr>
      <t>3009</t>
    </r>
  </si>
  <si>
    <r>
      <rPr>
        <sz val="9"/>
        <rFont val="Arial"/>
        <family val="2"/>
        <charset val="238"/>
      </rPr>
      <t>3010</t>
    </r>
  </si>
  <si>
    <r>
      <rPr>
        <sz val="9"/>
        <rFont val="Arial"/>
        <family val="2"/>
        <charset val="238"/>
      </rPr>
      <t>3011</t>
    </r>
  </si>
  <si>
    <r>
      <rPr>
        <sz val="9"/>
        <rFont val="Arial"/>
        <family val="2"/>
        <charset val="238"/>
      </rPr>
      <t>3012</t>
    </r>
  </si>
  <si>
    <r>
      <rPr>
        <sz val="9"/>
        <rFont val="Arial"/>
        <family val="2"/>
        <charset val="238"/>
      </rPr>
      <t>3013</t>
    </r>
  </si>
  <si>
    <r>
      <rPr>
        <sz val="9"/>
        <rFont val="Arial"/>
        <family val="2"/>
        <charset val="238"/>
      </rPr>
      <t>3014</t>
    </r>
  </si>
  <si>
    <r>
      <rPr>
        <sz val="9"/>
        <rFont val="Arial"/>
        <family val="2"/>
        <charset val="238"/>
      </rPr>
      <t>3015</t>
    </r>
  </si>
  <si>
    <r>
      <rPr>
        <sz val="9"/>
        <rFont val="Arial"/>
        <family val="2"/>
        <charset val="238"/>
      </rPr>
      <t>3016</t>
    </r>
  </si>
  <si>
    <r>
      <rPr>
        <sz val="9"/>
        <rFont val="Arial"/>
        <family val="2"/>
        <charset val="238"/>
      </rPr>
      <t>3017</t>
    </r>
  </si>
  <si>
    <r>
      <rPr>
        <sz val="9"/>
        <rFont val="Arial"/>
        <family val="2"/>
        <charset val="238"/>
      </rPr>
      <t>3018</t>
    </r>
  </si>
  <si>
    <r>
      <rPr>
        <sz val="9"/>
        <rFont val="Arial"/>
        <family val="2"/>
        <charset val="238"/>
      </rPr>
      <t>3019</t>
    </r>
  </si>
  <si>
    <r>
      <rPr>
        <sz val="9"/>
        <rFont val="Arial"/>
        <family val="2"/>
        <charset val="238"/>
      </rPr>
      <t>3020</t>
    </r>
  </si>
  <si>
    <r>
      <rPr>
        <sz val="9"/>
        <rFont val="Arial"/>
        <family val="2"/>
        <charset val="238"/>
      </rPr>
      <t>3021</t>
    </r>
  </si>
  <si>
    <r>
      <rPr>
        <sz val="9"/>
        <rFont val="Arial"/>
        <family val="2"/>
        <charset val="238"/>
      </rPr>
      <t>3022</t>
    </r>
  </si>
  <si>
    <r>
      <rPr>
        <sz val="9"/>
        <rFont val="Arial"/>
        <family val="2"/>
        <charset val="238"/>
      </rPr>
      <t>3023</t>
    </r>
  </si>
  <si>
    <r>
      <rPr>
        <sz val="9"/>
        <rFont val="Arial"/>
        <family val="2"/>
        <charset val="238"/>
      </rPr>
      <t>3024</t>
    </r>
  </si>
  <si>
    <r>
      <rPr>
        <sz val="9"/>
        <rFont val="Arial"/>
        <family val="2"/>
        <charset val="238"/>
      </rPr>
      <t>3025</t>
    </r>
  </si>
  <si>
    <r>
      <rPr>
        <sz val="9"/>
        <rFont val="Arial"/>
        <family val="2"/>
        <charset val="238"/>
      </rPr>
      <t>3026</t>
    </r>
  </si>
  <si>
    <r>
      <rPr>
        <sz val="9"/>
        <rFont val="Arial"/>
        <family val="2"/>
        <charset val="238"/>
      </rPr>
      <t>3027</t>
    </r>
  </si>
  <si>
    <r>
      <rPr>
        <sz val="9"/>
        <rFont val="Arial"/>
        <family val="2"/>
        <charset val="238"/>
      </rPr>
      <t>3028</t>
    </r>
  </si>
  <si>
    <r>
      <rPr>
        <sz val="9"/>
        <rFont val="Arial"/>
        <family val="2"/>
        <charset val="238"/>
      </rPr>
      <t>3029</t>
    </r>
  </si>
  <si>
    <r>
      <rPr>
        <sz val="9"/>
        <rFont val="Arial"/>
        <family val="2"/>
        <charset val="238"/>
      </rPr>
      <t>3030</t>
    </r>
  </si>
  <si>
    <r>
      <rPr>
        <sz val="9"/>
        <rFont val="Arial"/>
        <family val="2"/>
        <charset val="238"/>
      </rPr>
      <t>3031</t>
    </r>
  </si>
  <si>
    <r>
      <rPr>
        <sz val="9"/>
        <rFont val="Arial"/>
        <family val="2"/>
        <charset val="238"/>
      </rPr>
      <t>3032</t>
    </r>
  </si>
  <si>
    <r>
      <rPr>
        <sz val="9"/>
        <rFont val="Arial"/>
        <family val="2"/>
        <charset val="238"/>
      </rPr>
      <t>3033</t>
    </r>
  </si>
  <si>
    <r>
      <rPr>
        <sz val="9"/>
        <rFont val="Arial"/>
        <family val="2"/>
        <charset val="238"/>
      </rPr>
      <t>3034</t>
    </r>
  </si>
  <si>
    <r>
      <rPr>
        <sz val="9"/>
        <rFont val="Arial"/>
        <family val="2"/>
        <charset val="238"/>
      </rPr>
      <t>3035</t>
    </r>
  </si>
  <si>
    <r>
      <rPr>
        <sz val="9"/>
        <rFont val="Arial"/>
        <family val="2"/>
        <charset val="238"/>
      </rPr>
      <t>3036</t>
    </r>
  </si>
  <si>
    <r>
      <rPr>
        <sz val="9"/>
        <rFont val="Arial"/>
        <family val="2"/>
        <charset val="238"/>
      </rPr>
      <t>3037</t>
    </r>
  </si>
  <si>
    <r>
      <rPr>
        <sz val="9"/>
        <rFont val="Arial"/>
        <family val="2"/>
        <charset val="238"/>
      </rPr>
      <t>3038</t>
    </r>
  </si>
  <si>
    <r>
      <rPr>
        <sz val="9"/>
        <rFont val="Arial"/>
        <family val="2"/>
        <charset val="238"/>
      </rPr>
      <t>3039</t>
    </r>
  </si>
  <si>
    <r>
      <rPr>
        <sz val="9"/>
        <rFont val="Arial"/>
        <family val="2"/>
        <charset val="238"/>
      </rPr>
      <t>3040</t>
    </r>
  </si>
  <si>
    <r>
      <rPr>
        <sz val="9"/>
        <rFont val="Arial"/>
        <family val="2"/>
        <charset val="238"/>
      </rPr>
      <t>3041</t>
    </r>
  </si>
  <si>
    <r>
      <rPr>
        <sz val="9"/>
        <rFont val="Arial"/>
        <family val="2"/>
        <charset val="238"/>
      </rPr>
      <t>3042</t>
    </r>
  </si>
  <si>
    <r>
      <rPr>
        <sz val="9"/>
        <rFont val="Arial"/>
        <family val="2"/>
        <charset val="238"/>
      </rPr>
      <t>3043</t>
    </r>
  </si>
  <si>
    <r>
      <rPr>
        <sz val="9"/>
        <rFont val="Arial"/>
        <family val="2"/>
        <charset val="238"/>
      </rPr>
      <t>3044</t>
    </r>
  </si>
  <si>
    <r>
      <rPr>
        <sz val="9"/>
        <rFont val="Arial"/>
        <family val="2"/>
        <charset val="238"/>
      </rPr>
      <t>3045</t>
    </r>
  </si>
  <si>
    <r>
      <rPr>
        <sz val="9"/>
        <rFont val="Arial"/>
        <family val="2"/>
        <charset val="238"/>
      </rPr>
      <t>3046</t>
    </r>
  </si>
  <si>
    <r>
      <rPr>
        <sz val="9"/>
        <rFont val="Arial"/>
        <family val="2"/>
        <charset val="238"/>
      </rPr>
      <t>3047</t>
    </r>
  </si>
  <si>
    <r>
      <rPr>
        <sz val="9"/>
        <rFont val="Arial"/>
        <family val="2"/>
        <charset val="238"/>
      </rPr>
      <t>3048</t>
    </r>
  </si>
  <si>
    <r>
      <rPr>
        <sz val="9"/>
        <rFont val="Arial"/>
        <family val="2"/>
        <charset val="238"/>
      </rPr>
      <t>3049</t>
    </r>
  </si>
  <si>
    <r>
      <rPr>
        <sz val="9"/>
        <rFont val="Arial"/>
        <family val="2"/>
        <charset val="238"/>
      </rPr>
      <t>3050</t>
    </r>
  </si>
  <si>
    <r>
      <rPr>
        <sz val="9"/>
        <rFont val="Arial"/>
        <family val="2"/>
        <charset val="238"/>
      </rPr>
      <t>3051</t>
    </r>
  </si>
  <si>
    <r>
      <rPr>
        <sz val="9"/>
        <rFont val="Arial"/>
        <family val="2"/>
        <charset val="238"/>
      </rPr>
      <t>3052</t>
    </r>
  </si>
  <si>
    <r>
      <rPr>
        <sz val="9"/>
        <rFont val="Arial"/>
        <family val="2"/>
        <charset val="238"/>
      </rPr>
      <t>3053</t>
    </r>
  </si>
  <si>
    <r>
      <rPr>
        <sz val="9"/>
        <rFont val="Arial"/>
        <family val="2"/>
        <charset val="238"/>
      </rPr>
      <t>3054</t>
    </r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</si>
  <si>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</si>
  <si>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</si>
  <si>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</si>
  <si>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</si>
  <si>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</si>
  <si>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</si>
  <si>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</si>
  <si>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</si>
  <si>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</si>
  <si>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</si>
  <si>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</si>
  <si>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</si>
  <si>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</si>
  <si>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</si>
  <si>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</si>
  <si>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</si>
  <si>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</si>
  <si>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</si>
  <si>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</si>
  <si>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</si>
  <si>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</si>
  <si>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</si>
  <si>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</si>
  <si>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</si>
  <si>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</si>
  <si>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</si>
  <si>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XXX</t>
  </si>
  <si>
    <t>4322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</si>
  <si>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</si>
  <si>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</si>
  <si>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</si>
  <si>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</si>
  <si>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</si>
  <si>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</si>
  <si>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</si>
  <si>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</si>
  <si>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</si>
  <si>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</si>
  <si>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</si>
  <si>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</si>
  <si>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</si>
  <si>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</si>
  <si>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</si>
  <si>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</si>
  <si>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</si>
  <si>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</si>
  <si>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</si>
  <si>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</si>
  <si>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</si>
  <si>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</si>
  <si>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</si>
  <si>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</si>
  <si>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</si>
  <si>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</si>
  <si>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</si>
  <si>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4005</t>
  </si>
  <si>
    <t>4055</t>
  </si>
  <si>
    <t>4079</t>
  </si>
  <si>
    <t>4181</t>
  </si>
  <si>
    <t>4127</t>
  </si>
  <si>
    <t>4182</t>
  </si>
  <si>
    <r>
      <rPr>
        <sz val="7"/>
        <rFont val="Arial"/>
        <family val="2"/>
        <charset val="238"/>
      </rPr>
      <t>Смањење ревалоризационих резерви</t>
    </r>
  </si>
  <si>
    <t>4128</t>
  </si>
  <si>
    <t>4183</t>
  </si>
  <si>
    <r>
      <rPr>
        <sz val="7"/>
        <rFont val="Arial"/>
        <family val="2"/>
        <charset val="238"/>
      </rPr>
      <t>Нереализовани губици по основу компоненти осталог резултата</t>
    </r>
  </si>
  <si>
    <t>4265</t>
  </si>
  <si>
    <t>4289</t>
  </si>
  <si>
    <r>
      <rPr>
        <sz val="7"/>
        <rFont val="Arial"/>
        <family val="2"/>
        <charset val="238"/>
      </rPr>
      <t>Нето добитак периода</t>
    </r>
  </si>
  <si>
    <t>4006</t>
  </si>
  <si>
    <t>4031</t>
  </si>
  <si>
    <t>4103</t>
  </si>
  <si>
    <t>4153</t>
  </si>
  <si>
    <t>4184</t>
  </si>
  <si>
    <r>
      <rPr>
        <sz val="7"/>
        <rFont val="Arial"/>
        <family val="2"/>
        <charset val="238"/>
      </rPr>
      <t>Нето губитак периода</t>
    </r>
  </si>
  <si>
    <t>4215</t>
  </si>
  <si>
    <t>4290</t>
  </si>
  <si>
    <t>4325</t>
  </si>
  <si>
    <r>
      <rPr>
        <sz val="7"/>
        <rFont val="Arial"/>
        <family val="2"/>
        <charset val="238"/>
      </rPr>
      <t>Стицање сопствених акција (смањење капитала повећањем одбитних ставки)</t>
    </r>
  </si>
  <si>
    <t>4239</t>
  </si>
  <si>
    <t>4291</t>
  </si>
  <si>
    <r>
      <rPr>
        <sz val="7"/>
        <rFont val="Arial"/>
        <family val="2"/>
        <charset val="238"/>
      </rPr>
      <t>Продаја/отуђење сопствених акција (повећање капитала смањењем одбитних ставки)</t>
    </r>
  </si>
  <si>
    <t>4240</t>
  </si>
  <si>
    <t>4292</t>
  </si>
  <si>
    <r>
      <rPr>
        <sz val="7"/>
        <rFont val="Arial"/>
        <family val="2"/>
        <charset val="238"/>
      </rPr>
      <t>Пренос с једног на други облик капитала - повећање позиције</t>
    </r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</si>
  <si>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</si>
  <si>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</si>
  <si>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</si>
  <si>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</si>
  <si>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</si>
  <si>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</si>
  <si>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</si>
  <si>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</si>
  <si>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</si>
  <si>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</si>
  <si>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</si>
  <si>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</si>
  <si>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</si>
  <si>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r>
      <rPr>
        <sz val="7"/>
        <rFont val="Arial"/>
        <family val="2"/>
        <charset val="238"/>
      </rPr>
      <t>Пренос с једног на други облик капитала - смањење позиције</t>
    </r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</si>
  <si>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</si>
  <si>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</si>
  <si>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</si>
  <si>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</si>
  <si>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</si>
  <si>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</si>
  <si>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</si>
  <si>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</si>
  <si>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</si>
  <si>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</si>
  <si>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</si>
  <si>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</si>
  <si>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</si>
  <si>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r>
      <rPr>
        <sz val="7"/>
        <rFont val="Arial"/>
        <family val="2"/>
        <charset val="238"/>
      </rPr>
      <t>Смањење капитала по основу расподеле дивиденде</t>
    </r>
  </si>
  <si>
    <t>4156</t>
  </si>
  <si>
    <t>4187</t>
  </si>
  <si>
    <r>
      <rPr>
        <sz val="7"/>
        <rFont val="Arial"/>
        <family val="2"/>
        <charset val="238"/>
      </rPr>
      <t>Смањење капитала по основу обавеза према запосленима</t>
    </r>
  </si>
  <si>
    <t>4157</t>
  </si>
  <si>
    <t>4188</t>
  </si>
  <si>
    <r>
      <rPr>
        <sz val="7"/>
        <rFont val="Arial"/>
        <family val="2"/>
        <charset val="238"/>
      </rPr>
      <t>Остала повећања позиција</t>
    </r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</si>
  <si>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</si>
  <si>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</si>
  <si>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</si>
  <si>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</si>
  <si>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</si>
  <si>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</si>
  <si>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</si>
  <si>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</si>
  <si>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</si>
  <si>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</si>
  <si>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</si>
  <si>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</si>
  <si>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</si>
  <si>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r>
      <rPr>
        <sz val="7"/>
        <rFont val="Arial"/>
        <family val="2"/>
        <charset val="238"/>
      </rPr>
      <t>Остала смањења позиција</t>
    </r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</si>
  <si>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</si>
  <si>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</si>
  <si>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</si>
  <si>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</si>
  <si>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</si>
  <si>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</si>
  <si>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</si>
  <si>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</si>
  <si>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</si>
  <si>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</si>
  <si>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</si>
  <si>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</si>
  <si>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</si>
  <si>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</si>
  <si>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</si>
  <si>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</si>
  <si>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</si>
  <si>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</si>
  <si>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</si>
  <si>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</si>
  <si>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</si>
  <si>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</si>
  <si>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</si>
  <si>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</si>
  <si>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</si>
  <si>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</si>
  <si>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</si>
  <si>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</si>
  <si>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</si>
  <si>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</si>
  <si>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</si>
  <si>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</si>
  <si>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</si>
  <si>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</si>
  <si>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</si>
  <si>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</si>
  <si>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</si>
  <si>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</si>
  <si>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</si>
  <si>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</si>
  <si>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</si>
  <si>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</si>
  <si>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</si>
  <si>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</si>
  <si>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</si>
  <si>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</si>
  <si>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</si>
  <si>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</si>
  <si>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</si>
  <si>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</si>
  <si>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</si>
  <si>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</si>
  <si>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</si>
  <si>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</si>
  <si>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</si>
  <si>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</si>
  <si>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</si>
  <si>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</si>
  <si>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</si>
  <si>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</si>
  <si>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</si>
  <si>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</si>
  <si>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</si>
  <si>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</si>
  <si>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</si>
  <si>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</si>
  <si>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</si>
  <si>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</si>
  <si>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</si>
  <si>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</si>
  <si>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</si>
  <si>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r>
      <rPr>
        <sz val="7"/>
        <rFont val="Arial"/>
        <family val="2"/>
        <charset val="238"/>
      </rPr>
      <t>Исправка материјално значајних грешака и промене рачуноводствених политика -повећање позиције</t>
    </r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</si>
  <si>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</si>
  <si>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</si>
  <si>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</si>
  <si>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</si>
  <si>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</si>
  <si>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</si>
  <si>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</si>
  <si>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</si>
  <si>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</si>
  <si>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</si>
  <si>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</si>
  <si>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</si>
  <si>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</si>
  <si>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r>
      <rPr>
        <sz val="7"/>
        <rFont val="Arial"/>
        <family val="2"/>
        <charset val="238"/>
      </rPr>
      <t>Исправка материјално значајних грешака и промене рачуноводствених политика -смањење позиције</t>
    </r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</si>
  <si>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</si>
  <si>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</si>
  <si>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</si>
  <si>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</si>
  <si>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</si>
  <si>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</si>
  <si>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</si>
  <si>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</si>
  <si>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</si>
  <si>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</si>
  <si>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</si>
  <si>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</si>
  <si>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</si>
  <si>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</si>
  <si>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</si>
  <si>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</si>
  <si>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</si>
  <si>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</si>
  <si>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</si>
  <si>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</si>
  <si>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</si>
  <si>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</si>
  <si>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</si>
  <si>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</si>
  <si>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</si>
  <si>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</si>
  <si>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</si>
  <si>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</si>
  <si>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r>
      <rPr>
        <sz val="7"/>
        <rFont val="Arial"/>
        <family val="2"/>
        <charset val="238"/>
      </rPr>
      <t>Емисије акција</t>
    </r>
  </si>
  <si>
    <t>4018</t>
  </si>
  <si>
    <t>4067</t>
  </si>
  <si>
    <t>4091</t>
  </si>
  <si>
    <t>4198</t>
  </si>
  <si>
    <r>
      <rPr>
        <sz val="7"/>
        <rFont val="Arial"/>
        <family val="2"/>
        <charset val="238"/>
      </rPr>
      <t>Повећање ревалоризационих резерви и нереализовани добици по основу компоненти осталог резултата</t>
    </r>
  </si>
  <si>
    <t>4140</t>
  </si>
  <si>
    <t>4199</t>
  </si>
  <si>
    <t>4141</t>
  </si>
  <si>
    <t>4200</t>
  </si>
  <si>
    <t>4277</t>
  </si>
  <si>
    <t>4304</t>
  </si>
  <si>
    <t>4019</t>
  </si>
  <si>
    <t>4043</t>
  </si>
  <si>
    <t>4115</t>
  </si>
  <si>
    <t>4167</t>
  </si>
  <si>
    <t>4201</t>
  </si>
  <si>
    <t>4227</t>
  </si>
  <si>
    <t>4305</t>
  </si>
  <si>
    <t>4337</t>
  </si>
  <si>
    <t>4252</t>
  </si>
  <si>
    <t>4306</t>
  </si>
  <si>
    <t>4253</t>
  </si>
  <si>
    <t>4307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</si>
  <si>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</si>
  <si>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</si>
  <si>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</si>
  <si>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</si>
  <si>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</si>
  <si>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</si>
  <si>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</si>
  <si>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</si>
  <si>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</si>
  <si>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</si>
  <si>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</si>
  <si>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</si>
  <si>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</si>
  <si>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</si>
  <si>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</si>
  <si>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</si>
  <si>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</si>
  <si>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</si>
  <si>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</si>
  <si>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</si>
  <si>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</si>
  <si>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</si>
  <si>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</si>
  <si>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</si>
  <si>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</si>
  <si>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</si>
  <si>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4170</t>
  </si>
  <si>
    <t>4204</t>
  </si>
  <si>
    <t>4171</t>
  </si>
  <si>
    <t>4205</t>
  </si>
  <si>
    <r>
      <rPr>
        <sz val="7"/>
        <rFont val="Arial"/>
        <family val="2"/>
        <charset val="238"/>
      </rPr>
      <t>Остала повећања позиције</t>
    </r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</si>
  <si>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</si>
  <si>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</si>
  <si>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</si>
  <si>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</si>
  <si>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</si>
  <si>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</si>
  <si>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</si>
  <si>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</si>
  <si>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</si>
  <si>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</si>
  <si>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</si>
  <si>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</si>
  <si>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</si>
  <si>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r>
      <rPr>
        <sz val="7"/>
        <rFont val="Arial"/>
        <family val="2"/>
        <charset val="238"/>
      </rPr>
      <t>Остала смањења позиције</t>
    </r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</si>
  <si>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</si>
  <si>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</si>
  <si>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</si>
  <si>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</si>
  <si>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</si>
  <si>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</si>
  <si>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</si>
  <si>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</si>
  <si>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</si>
  <si>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</si>
  <si>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</si>
  <si>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</si>
  <si>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</si>
  <si>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</si>
  <si>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</si>
  <si>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</si>
  <si>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</si>
  <si>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</si>
  <si>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</si>
  <si>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</si>
  <si>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</si>
  <si>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</si>
  <si>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</si>
  <si>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</si>
  <si>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</si>
  <si>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</si>
  <si>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</si>
  <si>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</si>
  <si>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</si>
  <si>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</si>
  <si>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</si>
  <si>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</si>
  <si>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</si>
  <si>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</si>
  <si>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</si>
  <si>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</si>
  <si>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</si>
  <si>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</si>
  <si>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</si>
  <si>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</si>
  <si>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</si>
  <si>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Крајње стање или стање на дан 31. децембра текуће године (редни бр. 25 + 40 - 41)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</si>
  <si>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</si>
  <si>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</si>
  <si>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</si>
  <si>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</si>
  <si>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</si>
  <si>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</si>
  <si>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</si>
  <si>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</si>
  <si>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</si>
  <si>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</si>
  <si>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</si>
  <si>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</si>
  <si>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</si>
  <si>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</si>
  <si>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А К Т И В А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</si>
  <si>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</si>
  <si>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</si>
  <si>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</si>
  <si>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</si>
  <si>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</si>
  <si>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</si>
  <si>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</si>
  <si>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</si>
  <si>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</si>
  <si>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</si>
  <si>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</si>
  <si>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</si>
  <si>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</si>
  <si>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</si>
  <si>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</si>
  <si>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</si>
  <si>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</si>
  <si>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</si>
  <si>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</si>
  <si>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</si>
  <si>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</si>
  <si>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</si>
  <si>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</si>
  <si>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</si>
  <si>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</si>
  <si>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</si>
  <si>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</si>
  <si>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</si>
  <si>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</si>
  <si>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</si>
  <si>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</si>
  <si>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</si>
  <si>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</si>
  <si>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</si>
  <si>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</si>
  <si>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</si>
  <si>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</si>
  <si>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</si>
  <si>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</si>
  <si>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</si>
  <si>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</si>
  <si>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</si>
  <si>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</si>
  <si>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</si>
  <si>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</si>
  <si>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</si>
  <si>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</si>
  <si>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</si>
  <si>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</si>
  <si>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</si>
  <si>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</si>
  <si>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</si>
  <si>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</si>
  <si>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t>3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</si>
  <si>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</si>
  <si>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</si>
  <si>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</si>
  <si>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</si>
  <si>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</si>
  <si>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</si>
  <si>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</si>
  <si>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</si>
  <si>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</si>
  <si>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</si>
  <si>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</si>
  <si>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</si>
  <si>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</si>
  <si>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</si>
  <si>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</si>
  <si>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</si>
  <si>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</si>
  <si>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</si>
  <si>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</si>
  <si>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</si>
  <si>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</si>
  <si>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</si>
  <si>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</si>
  <si>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</si>
  <si>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</si>
  <si>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</si>
  <si>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</si>
  <si>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</si>
  <si>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</si>
  <si>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</si>
  <si>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</si>
  <si>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</si>
  <si>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</si>
  <si>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</si>
  <si>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</si>
  <si>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</si>
  <si>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</si>
  <si>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</si>
  <si>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</si>
  <si>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</si>
  <si>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</si>
  <si>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</si>
  <si>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</si>
  <si>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</si>
  <si>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</si>
  <si>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</si>
  <si>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</si>
  <si>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</si>
  <si>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</si>
  <si>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</si>
  <si>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</si>
  <si>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</si>
  <si>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</si>
  <si>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</si>
  <si>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БИЛАНС УСПЕХА</t>
  </si>
  <si>
    <r>
      <rPr>
        <b/>
        <sz val="9"/>
        <rFont val="Arial"/>
        <family val="2"/>
        <charset val="238"/>
      </rPr>
      <t>БИЛАНС СТАЊА</t>
    </r>
  </si>
  <si>
    <t>Ознака за АОП</t>
  </si>
  <si>
    <t>Напомена број</t>
  </si>
  <si>
    <t>Претходна година</t>
  </si>
  <si>
    <t>2</t>
  </si>
  <si>
    <t>4</t>
  </si>
  <si>
    <t>5</t>
  </si>
  <si>
    <t>6</t>
  </si>
  <si>
    <t>И з н о с</t>
  </si>
  <si>
    <t>А. ПОСЛОВНИ ПРИХОДИ И РАСХОДИ</t>
  </si>
  <si>
    <t>1. Приходи од премија осигурања и саосигурања (1003 + 1004 - 1005 - 1006 - 1007 + 1008)</t>
  </si>
  <si>
    <t>1.1. Обрачуната премија животних осигурања и саосигурања</t>
  </si>
  <si>
    <t>1.2. Обрачуната премија неживотних осигурања и саосигурања</t>
  </si>
  <si>
    <t>1.3. Премија пренета у саосигурање - пасивна</t>
  </si>
  <si>
    <t>1.4. Премија пренета у реосигурање</t>
  </si>
  <si>
    <t>1.5. Повећање резерви за преносне премије и резерви за неистекле ризике осигурања и саосигурања</t>
  </si>
  <si>
    <t>1.6. Смањење резерви за преносне премије и резерви за неистекле ризике осигурања и саосигурања</t>
  </si>
  <si>
    <t>2. Приходи од премија реосигурања и ретроцесија (1010 - 1011 - 1012 + 1013)</t>
  </si>
  <si>
    <t>2.1. Обрачуната премија реосигурања и ретроцесија</t>
  </si>
  <si>
    <t>2.3. Премија пренета ретроцесијом реосигурања и ретроцесија</t>
  </si>
  <si>
    <t>2.4. Повећање резерви за преносне премије и резерви за неистекле ризике реосигурања и ретроцесија</t>
  </si>
  <si>
    <t>2.5. Смањење резерви за преносне премије и резерви за неистекле ризике реосигурања и ретроцесија</t>
  </si>
  <si>
    <t>3. Приходи од послова непосредно повезаних с пословима осигурања</t>
  </si>
  <si>
    <t>4. Остали пословни приходи</t>
  </si>
  <si>
    <t>1. Расходи за дугорочна резервисања и функционалне доприносе (1018 + 1019 + 1020 + 1021 + 1022 + 1023 + 1024 + 1025)</t>
  </si>
  <si>
    <t>1.1. Математичка резерва животних осигурања -повећање</t>
  </si>
  <si>
    <t>1.2. Математичка резерва неживотних осигурања - повећање</t>
  </si>
  <si>
    <t>1.3. Допринос за превентиву</t>
  </si>
  <si>
    <t>1.4. Доприноси прописани посебним законима</t>
  </si>
  <si>
    <t>1.5. Допринос Гарантном фонду</t>
  </si>
  <si>
    <t>1.6. Резервисања за изравнање ризика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</si>
  <si>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</si>
  <si>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1.8. Остали расходи за дугорочна резервисања и функционалне доприносе</t>
  </si>
  <si>
    <t>2. Расходи накнада штета и уговорених износа (1027 + 1028 + 1029 + 1030 + 1031 - 1032 - 1033)</t>
  </si>
  <si>
    <t>2.1. Ликвидиране штете и уговорени износи животних осигурања</t>
  </si>
  <si>
    <t>2.2. Ликвидиране штете неживотних осигурања</t>
  </si>
  <si>
    <t>2.3. Ликвидиране штете - удели у штетама саосигурања</t>
  </si>
  <si>
    <t>2.4. Ликвидиране штете - удели у штетама реосигурања и ретроцесија</t>
  </si>
  <si>
    <t>2.5. Расходи извиђаја, процене, ликвидације и исплате накнада штета и уговорених износа</t>
  </si>
  <si>
    <t>2.6. Приходи од учешћа саосигурања у накнади штета</t>
  </si>
  <si>
    <t>2.7. Приходи од учешћа реосигурања и ретроцесија у накнади штета</t>
  </si>
  <si>
    <t>3. Резервисане штете - повећање (1036 - 1037 + 1038 - 1039 + 1040 - 1041 + 1042 - 1043) &gt; 0</t>
  </si>
  <si>
    <t>3. Резервисане штете - смањење (1036 - 1037 + 1038 - 1039 + 1040 - 1041 + 1042 - 1043) &lt; 0</t>
  </si>
  <si>
    <t>3.1. Резервисане штете животних осигурања - повећање</t>
  </si>
  <si>
    <t>3.2. Резервисане штете животних осигурања - смањење</t>
  </si>
  <si>
    <t>3.3. Резервисане штете неживотних осигурања - повећање</t>
  </si>
  <si>
    <t>3.4. Резервисане штете неживотних осигурања - смањење</t>
  </si>
  <si>
    <t>3.5. Резервисане штете саосигурања, реосигурања и ретроцесија - повећање</t>
  </si>
  <si>
    <t>3.6. Резервисане штете саосигурања, реосигурања и ретроцесија - смањење</t>
  </si>
  <si>
    <t>3.7. Повећање резервисаних штета - удела саосигуравача, реосигуравача и ретроцесионара у штетама</t>
  </si>
  <si>
    <t>3.8. Смањење резервисаних штета - удела реосигуравача, односно ретроцесионара у штетама</t>
  </si>
  <si>
    <t>4. Приходи по основу регреса и продаје осигураних оштећених ствари</t>
  </si>
  <si>
    <t>5. Повећање осталих техничких резерви - нето</t>
  </si>
  <si>
    <t>6. Смањење осталих техничких резерви - нето</t>
  </si>
  <si>
    <t>7. Расходи за бонусе и попусте</t>
  </si>
  <si>
    <t>8. Остали пословни расходи</t>
  </si>
  <si>
    <t>III. ДОБИТАК - БРУТО ПОСЛОВНИ РЕЗУЛТАТ (1001 - 1016)</t>
  </si>
  <si>
    <t>IV. ГУБИТАК - БРУТО ПОСЛОВНИ РЕЗУЛТАТ (1016 - 1001)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</si>
  <si>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</si>
  <si>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</si>
  <si>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1. Приходи од зависних и придружених правних лица и од заједничких подухвата</t>
  </si>
  <si>
    <t>2. Приходи од улагања у непокретности (1054 + 1055 + 1056)</t>
  </si>
  <si>
    <t>2.1. Приходи од закупнина инвестиционих некретнина</t>
  </si>
  <si>
    <t>2.2. Приходи од усклађивања вредности инвестиционих некретнина</t>
  </si>
  <si>
    <t>2.3. Приходи од продаје непокретности (дезинвестирања)</t>
  </si>
  <si>
    <t>3. Приходи од камата</t>
  </si>
  <si>
    <t>4. Приходи од усклађивања вредности финансијских средстава која се исказују по фер вредности кроз биланс успеха</t>
  </si>
  <si>
    <t>5. Добици од продаје хартија од вредности</t>
  </si>
  <si>
    <t>6. Позитивне курсне разлике из активности инвестирања</t>
  </si>
  <si>
    <t>7. Остали приходи по основу инвестиционе активности</t>
  </si>
  <si>
    <t>II. РАСХОДИ ПО ОСНОВУ ИНВЕСТИРАЊА СРЕДСТАВА ОСИГУРАЊА (1063 + 1064 + 1067 + 1068 + 1069 + 1070)</t>
  </si>
  <si>
    <t>1. Расходи из односа са зависним и придруженим правним лицима и из заједничких подухвата</t>
  </si>
  <si>
    <t>2.1. Расходи по основу обезвређења инвестиционих некретнина</t>
  </si>
  <si>
    <t>2.2. Губици при продаји непокретности (дезинвестирању)</t>
  </si>
  <si>
    <t>4. Расходи по основу усклађивања вредности финансијских средстава која се исказују по фер вредности кроз биланс успеха</t>
  </si>
  <si>
    <t>5. Губици при продаји хартија од вредности</t>
  </si>
  <si>
    <t>6. Негативне курсне разлике из активности инвестирања</t>
  </si>
  <si>
    <t>7. Остали расходи по основу инвестиционе активности</t>
  </si>
  <si>
    <t>III. ДОБИТАК ИЗ ИНВЕСТИЦИОНЕ АКТИВНОСТИ (1051 - 1062)</t>
  </si>
  <si>
    <t>IV. ГУБИТАК ИЗ ИНВЕСТИЦИОНЕ АКТИВНОСТИ (1062 - 1051)</t>
  </si>
  <si>
    <t>В.ТРОШКОВИ СПРОВОЂЕЊА ОСИГУРАЊА (1074 + 1079 + 1084 - 1085)</t>
  </si>
  <si>
    <t>1. Т рошкови прибаве (1075 + 1076 - 1077 + 1078)</t>
  </si>
  <si>
    <t>1.1. Провизије</t>
  </si>
  <si>
    <t>1.2. Остали трошкови прибаве</t>
  </si>
  <si>
    <t>1.3. Промена разграничених трошкова прибаве - повећање</t>
  </si>
  <si>
    <t>1.4. Промена разграничених трошкова прибаве - смањење</t>
  </si>
  <si>
    <t>2. Трошкови управе (1080 + 1081 + 1082 + 1083)</t>
  </si>
  <si>
    <t>2.1. Амортизација</t>
  </si>
  <si>
    <t>2.2. Трошкови материјала, енергије, услуга и нематеријални трошкови</t>
  </si>
  <si>
    <t>2.3. Трошкови зарада, накнада зарада и остали лични трошкови</t>
  </si>
  <si>
    <t>2.4. Остали трошкови управе</t>
  </si>
  <si>
    <t>3. Остали трошкови спровођења осигурања</t>
  </si>
  <si>
    <t>4. Провизија од реосигурања и ретроцесија</t>
  </si>
  <si>
    <t>I. ПОСЛОВНИ ДОБИТАК - НЕТО ПОСЛОВНИ РЕЗУЛТАТ (1049 + 1071 - 1050 - 1072 - 1073) &gt; 0</t>
  </si>
  <si>
    <t>II. ПОСЛОВНИ ГУБИТАК - НЕТО ПОСЛОВНИ РЕЗУЛТАТ (1049 + 1071 - 1050 - 1072 - 1073) &lt; 0</t>
  </si>
  <si>
    <t>III. ФИНАНСИЈСКИ ПРИХОДИ, ОСИМ ФИНАНСИЈСКИХ ПРИХОДА ПО ОСНОВУ ИНВЕСТИЦИОНЕ АКТИВНОСТИ</t>
  </si>
  <si>
    <t>IV. ФИНАНСИЈСКИ РАСХОДИ, ОСИМ ФИНАНСИЈСКИХ РАСХОДА ПО ОСНОВУ ИНВЕСТИЦИОНЕ АКТИВНОСТИ</t>
  </si>
  <si>
    <t>V. ПРИХОДИ ОД УСКЛАЂИВАЊА ВРЕДНОСТИ ПОТРАЖИВАЊА И ДРУГЕ ИМОВИНЕ КОЈА СЛУЖИ ЗА ОБАВЉАЊЕ ДЕЛАТНОСТИ</t>
  </si>
  <si>
    <t>VI. РАСХОДИ ПО ОСНОВУ ОБЕЗВРЕЂЕЊА ПОТРАЖИВАЊА И ДРУГЕ ИМОВИНЕ КОЈА СЛУЖИ ЗА ОБАВЉАЊЕ ДЕЛАТНОСТИ</t>
  </si>
  <si>
    <t>VII. ОСТАЛИ ПРИХОДИ</t>
  </si>
  <si>
    <t>VIII. ОСТАЛИ РАСХОДИ</t>
  </si>
  <si>
    <t>IX. ДОБИТАК ИЗ РЕДОВНОГ ПОСЛОВАЊА ПРЕ ОПОРЕЗИВАЊА (1086 + 1088 + 1090 + 1092 - 1087 - 1089 - 1091 -1093) &gt; 0</t>
  </si>
  <si>
    <t>X. ГУБИТАК ИЗ РЕДОВНОГ ПОСЛОВАЊА ПРЕ ОПОРЕЗИВАЊА (1086 + 1088 + 1090 + 1092 - 1087 - 1089 - 1091 - 1093) &lt; 0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</si>
  <si>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</si>
  <si>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</si>
  <si>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Г. ДОБИТАК ПРЕ ОПОРЕЗИВАЊА (1094 + 1096 - 1095 - 1097)</t>
  </si>
  <si>
    <t>Д. ГУБИТАК ПРЕ ОПОРЕЗИВАЊА (1095 + 1097 - 1094 - 1096)</t>
  </si>
  <si>
    <t>Ђ. ПОРЕЗ НА ДОБИТАК</t>
  </si>
  <si>
    <t>1. Порез на добитак</t>
  </si>
  <si>
    <t>2. Добитак по основу креирања одложених пореских средстава и смањења одложених пореских обавеза</t>
  </si>
  <si>
    <t>3. Губитак по основу смањења одложених пореских средстава из претходних година и креирања одложених пореских обавеза</t>
  </si>
  <si>
    <t>Е. НЕТО ДОБИТАК (1098 - 1099 - 1100 + 1101 - 1102)</t>
  </si>
  <si>
    <t>1. Нето добитак који припада мањинским улагачима</t>
  </si>
  <si>
    <t>2. Нето добитак који припада већинском власнику</t>
  </si>
  <si>
    <t>Ж. НЕТО ГУБИТАК (1099 - 1098 + 1100 - 1101 + 1102)</t>
  </si>
  <si>
    <t>1. Нето губитак који се приписује мањинским улагачима</t>
  </si>
  <si>
    <t>2. Нето губитак који се приписује већинском власнику</t>
  </si>
  <si>
    <t>З. ЗАРАДА ПО АКЦИЈИ</t>
  </si>
  <si>
    <t>1. Основна зарада по акцији (у динарима без пара)</t>
  </si>
  <si>
    <t>2. Умањена (разводњена) зарада по акцији (у динарима без пара)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</si>
  <si>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</si>
  <si>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</si>
  <si>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</si>
  <si>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</si>
  <si>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</si>
  <si>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</si>
  <si>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</si>
  <si>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</si>
  <si>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</si>
  <si>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</si>
  <si>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</si>
  <si>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</si>
  <si>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</si>
  <si>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</si>
  <si>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</si>
  <si>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</si>
  <si>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</si>
  <si>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</si>
  <si>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</si>
  <si>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</si>
  <si>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</si>
  <si>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</si>
  <si>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</si>
  <si>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</si>
  <si>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</si>
  <si>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</si>
  <si>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</si>
  <si>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</si>
  <si>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</si>
  <si>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</si>
  <si>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</si>
  <si>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</si>
  <si>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</si>
  <si>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</si>
  <si>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</si>
  <si>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</si>
  <si>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</si>
  <si>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</si>
  <si>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</si>
  <si>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</si>
  <si>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</si>
  <si>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</si>
  <si>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</si>
  <si>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</si>
  <si>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</si>
  <si>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</si>
  <si>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</si>
  <si>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</si>
  <si>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</si>
  <si>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</si>
  <si>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</si>
  <si>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</si>
  <si>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</si>
  <si>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</si>
  <si>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</si>
  <si>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</si>
  <si>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</si>
  <si>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</si>
  <si>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</si>
  <si>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</si>
  <si>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</si>
  <si>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</si>
  <si>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</si>
  <si>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</si>
  <si>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</si>
  <si>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</si>
  <si>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</si>
  <si>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</si>
  <si>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</si>
  <si>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</si>
  <si>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</si>
  <si>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</si>
  <si>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</si>
  <si>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</si>
  <si>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</si>
  <si>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</si>
  <si>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</si>
  <si>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</si>
  <si>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</si>
  <si>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</si>
  <si>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</si>
  <si>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</si>
  <si>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</si>
  <si>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</si>
  <si>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</si>
  <si>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</si>
  <si>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</si>
  <si>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</si>
  <si>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</si>
  <si>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</si>
  <si>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</si>
  <si>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</si>
  <si>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</si>
  <si>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</si>
  <si>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</si>
  <si>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</si>
  <si>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</si>
  <si>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</si>
  <si>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</si>
  <si>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</si>
  <si>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</si>
  <si>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</si>
  <si>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</si>
  <si>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</si>
  <si>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</si>
  <si>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</si>
  <si>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</si>
  <si>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</si>
  <si>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</si>
  <si>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</si>
  <si>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</si>
  <si>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</si>
  <si>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</si>
  <si>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</si>
  <si>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</si>
  <si>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</si>
  <si>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</si>
  <si>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</si>
  <si>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</si>
  <si>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</si>
  <si>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</si>
  <si>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</si>
  <si>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</si>
  <si>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</si>
  <si>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</si>
  <si>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</si>
  <si>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</si>
  <si>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</si>
  <si>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</si>
  <si>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</si>
  <si>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</si>
  <si>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</si>
  <si>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</si>
  <si>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</si>
  <si>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</si>
  <si>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</si>
  <si>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</si>
  <si>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</si>
  <si>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</si>
  <si>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</si>
  <si>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</si>
  <si>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</si>
  <si>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</si>
  <si>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</si>
  <si>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</si>
  <si>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</si>
  <si>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</si>
  <si>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</si>
  <si>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</si>
  <si>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</si>
  <si>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</si>
  <si>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</si>
  <si>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</si>
  <si>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</si>
  <si>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</si>
  <si>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</si>
  <si>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</si>
  <si>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</si>
  <si>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</si>
  <si>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</si>
  <si>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</si>
  <si>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</si>
  <si>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</si>
  <si>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</si>
  <si>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</si>
  <si>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</si>
  <si>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</si>
  <si>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</si>
  <si>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</si>
  <si>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</si>
  <si>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</si>
  <si>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</si>
  <si>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</si>
  <si>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</si>
  <si>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</si>
  <si>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</si>
  <si>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</si>
  <si>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</si>
  <si>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</si>
  <si>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</si>
  <si>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ИЗВЕШТАЈ О ТОКОВИМА ГОТОВИНЕ</t>
  </si>
  <si>
    <t>А.</t>
  </si>
  <si>
    <t>ТОКОВИ ГОТОВИНЕ ИЗ ПОСЛОВНИХ АКТИВНОСТИ</t>
  </si>
  <si>
    <t>I.</t>
  </si>
  <si>
    <t>Приливи готовине из пословних активности (од 1 до 5)</t>
  </si>
  <si>
    <t>1. Премије осигурања и саосигурања и примљени аванси</t>
  </si>
  <si>
    <t>2. Премије реосигурања и ретроцесија</t>
  </si>
  <si>
    <t>3. Приливи од учешћа у накнади штета</t>
  </si>
  <si>
    <t>4. Примљене камате из пословних активности</t>
  </si>
  <si>
    <t>5. Остали приливи из редовног пословања</t>
  </si>
  <si>
    <t>II.</t>
  </si>
  <si>
    <t>Одливи готовине из пословних активности (од 1 до 9)</t>
  </si>
  <si>
    <t>1. Накнаде штета и уговорених износа из осигурања, удели у штетама из саосигурања и дати аванси</t>
  </si>
  <si>
    <t>2. Накнаде штета и удели у штетама из реосигурања и ретроцесија</t>
  </si>
  <si>
    <t>3. Премије саосигурања, реосигурања и ретроцесија</t>
  </si>
  <si>
    <t>4. Зараде, накнаде зарада и остали лични расходи</t>
  </si>
  <si>
    <t>5. Остали трошкови спровођења осигурања</t>
  </si>
  <si>
    <t>6. Плаћене камате</t>
  </si>
  <si>
    <t>7. Порез на добитак</t>
  </si>
  <si>
    <t>8. Одливи по основу осталих јавних прихода</t>
  </si>
  <si>
    <t>9. Остали одливи готовине из редовног пословања</t>
  </si>
  <si>
    <t>III.</t>
  </si>
  <si>
    <t>Нето прилив готовине из пословних активности (I - II)</t>
  </si>
  <si>
    <t>IV.</t>
  </si>
  <si>
    <t>Нето одлив готовине из пословних активности (II - I)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</si>
  <si>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</si>
  <si>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</si>
  <si>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</si>
  <si>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</si>
  <si>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</si>
  <si>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- депоновања и улагања (нето приливи)</t>
  </si>
  <si>
    <t>4. Примљене камате из активности инвестирања</t>
  </si>
  <si>
    <t>5. Примљене дивиденде и учешћа у резултату</t>
  </si>
  <si>
    <t>Одливи готовине из активности инвестирања (од 1 до 3)</t>
  </si>
  <si>
    <t>1. Куповина акција и удела (нето одливи)</t>
  </si>
  <si>
    <t>2. Куповина нематеријалних улагања, некретнина, постројења, опреме и биолошких средстава</t>
  </si>
  <si>
    <t>Нето прилив готовине из активности инвестирања (I - II)</t>
  </si>
  <si>
    <t>Нето одлив готовине из активности инвестирања (II - I)</t>
  </si>
  <si>
    <t>В.</t>
  </si>
  <si>
    <t>ТОКОВИ ГОТОВИНЕ ИЗ АКТИВНОСТИ ФИНАНСИРАЊА</t>
  </si>
  <si>
    <t>Приливи готовине из активности финансирања (од 1 до 5)</t>
  </si>
  <si>
    <t>1. Увећање основног капитала</t>
  </si>
  <si>
    <t>2. Дугорочни кредити (нето приливи)</t>
  </si>
  <si>
    <t>3. Краткорочни кредити (нето приливи)</t>
  </si>
  <si>
    <t>4. Остале дугорочне обавезе</t>
  </si>
  <si>
    <t>5. Остале краткорочне обавезе</t>
  </si>
  <si>
    <t>Одливи готовине из активности финансирања (од 1 до 7)</t>
  </si>
  <si>
    <t>1. Откуп сопствених акција и удела</t>
  </si>
  <si>
    <t>2. Дугорочни кредити (нето одливи)</t>
  </si>
  <si>
    <t>3. Краткорочни кредити (нето одливи)</t>
  </si>
  <si>
    <t>6. Финансијски лизинг</t>
  </si>
  <si>
    <t>7. Исплаћене дивиденде и учешћа у резултату</t>
  </si>
  <si>
    <t>Нето прилив готовине из активности финансирања (I - II)</t>
  </si>
  <si>
    <t>Нето одлив готовине из активности финансирања (II - I)</t>
  </si>
  <si>
    <t>Г.</t>
  </si>
  <si>
    <t>СВЕГА ПРИЛИВ ГОТОВИНЕ (3001 + 3019 + 3031)</t>
  </si>
  <si>
    <t>Д.</t>
  </si>
  <si>
    <t>СВЕГА ОДЛИВ ГОТОВИНЕ (3007 + 3025 + 3037)</t>
  </si>
  <si>
    <t>Ђ.</t>
  </si>
  <si>
    <t>НЕТО ПРИЛИВ ГОТОВИНЕ (3047 - 3048)</t>
  </si>
  <si>
    <t>Е.</t>
  </si>
  <si>
    <t>НЕТО ОДЛИВ ГОТОВИНЕ (3048 - 3047)</t>
  </si>
  <si>
    <t>Ж.</t>
  </si>
  <si>
    <t>ГОТОВИНА НА ПОЧЕТКУ ОБРАЧУНСКОГ ПЕРИОДА</t>
  </si>
  <si>
    <t>З.</t>
  </si>
  <si>
    <t>ПОЗИТИВНЕ КУРСНЕ РАЗЛИКЕ ПО ОСНОВУ ПРЕРАЧУНА ГОТОВИНЕ</t>
  </si>
  <si>
    <t>И.</t>
  </si>
  <si>
    <t>НЕГАТИВНЕ КУРСНЕ РАЗЛИКЕ ПО ОСНОВУ ПРЕРАЧУНА ГОТОВИНЕ</t>
  </si>
  <si>
    <t>Ј.</t>
  </si>
  <si>
    <t>ГОТОВИНА НА КРАЈУ ОБРАЧУНСКОГ ПЕРИОДА (3049 - 3050 + 3051 + 3052 - 3053)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</si>
  <si>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</si>
  <si>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</si>
  <si>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</si>
  <si>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</si>
  <si>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</si>
  <si>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</si>
  <si>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</si>
  <si>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</si>
  <si>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</si>
  <si>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r>
      <rPr>
        <b/>
        <sz val="8"/>
        <rFont val="Arial"/>
        <family val="2"/>
        <charset val="238"/>
      </rPr>
      <t>1</t>
    </r>
  </si>
  <si>
    <r>
      <rPr>
        <b/>
        <sz val="8"/>
        <rFont val="Arial"/>
        <family val="2"/>
        <charset val="238"/>
      </rPr>
      <t>2</t>
    </r>
  </si>
  <si>
    <r>
      <rPr>
        <b/>
        <sz val="8"/>
        <rFont val="Arial"/>
        <family val="2"/>
        <charset val="238"/>
      </rPr>
      <t>3</t>
    </r>
  </si>
  <si>
    <r>
      <rPr>
        <b/>
        <sz val="8"/>
        <rFont val="Arial"/>
        <family val="2"/>
        <charset val="238"/>
      </rPr>
      <t>4</t>
    </r>
  </si>
  <si>
    <r>
      <rPr>
        <b/>
        <sz val="8"/>
        <rFont val="Arial"/>
        <family val="2"/>
        <charset val="238"/>
      </rPr>
      <t>5</t>
    </r>
  </si>
  <si>
    <r>
      <rPr>
        <b/>
        <sz val="8"/>
        <rFont val="Arial"/>
        <family val="2"/>
        <charset val="238"/>
      </rPr>
      <t>6</t>
    </r>
  </si>
  <si>
    <r>
      <rPr>
        <b/>
        <sz val="8"/>
        <rFont val="Arial"/>
        <family val="2"/>
        <charset val="238"/>
      </rPr>
      <t>7</t>
    </r>
  </si>
  <si>
    <r>
      <rPr>
        <b/>
        <sz val="8"/>
        <rFont val="Arial"/>
        <family val="2"/>
        <charset val="238"/>
      </rPr>
      <t>8</t>
    </r>
  </si>
  <si>
    <r>
      <rPr>
        <b/>
        <sz val="8"/>
        <rFont val="Arial"/>
        <family val="2"/>
        <charset val="238"/>
      </rPr>
      <t>9</t>
    </r>
  </si>
  <si>
    <r>
      <rPr>
        <b/>
        <sz val="8"/>
        <rFont val="Arial"/>
        <family val="2"/>
        <charset val="238"/>
      </rPr>
      <t>10</t>
    </r>
  </si>
  <si>
    <r>
      <rPr>
        <b/>
        <sz val="8"/>
        <rFont val="Arial"/>
        <family val="2"/>
        <charset val="238"/>
      </rPr>
      <t>11</t>
    </r>
  </si>
  <si>
    <r>
      <rPr>
        <b/>
        <sz val="8"/>
        <rFont val="Arial"/>
        <family val="2"/>
        <charset val="238"/>
      </rPr>
      <t>12</t>
    </r>
  </si>
  <si>
    <r>
      <rPr>
        <b/>
        <sz val="8"/>
        <rFont val="Arial"/>
        <family val="2"/>
        <charset val="238"/>
      </rPr>
      <t>13</t>
    </r>
  </si>
  <si>
    <r>
      <rPr>
        <b/>
        <sz val="8"/>
        <rFont val="Arial"/>
        <family val="2"/>
        <charset val="238"/>
      </rPr>
      <t>14</t>
    </r>
  </si>
  <si>
    <r>
      <rPr>
        <b/>
        <sz val="8"/>
        <rFont val="Arial"/>
        <family val="2"/>
        <charset val="238"/>
      </rPr>
      <t>15</t>
    </r>
  </si>
  <si>
    <t>РБ</t>
  </si>
  <si>
    <t>на дан 31.12.2014.године</t>
  </si>
  <si>
    <t>у периоду од 01.01.2014. год. до 31.12.2014. године</t>
  </si>
  <si>
    <t>у периоду од 01.01.2014.год. до 31.12.2014.године</t>
  </si>
  <si>
    <t>у периоду од 01.01.2014. год. до31.12.2014.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</si>
</sst>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u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vertical="top" wrapText="1"/>
    </xf>
    <xf numFmtId="0" fontId="2" fillId="0" borderId="0" xfId="0" applyFont="1"/>
    <xf numFmtId="0" fontId="2" fillId="0" borderId="3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/>
    <xf numFmtId="0" fontId="7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14" xfId="0" applyFont="1" applyBorder="1" applyAlignment="1">
      <alignment horizontal="center" vertical="top"/>
    </xf>
    <xf numFmtId="0" fontId="7" fillId="0" borderId="3" xfId="0" applyFont="1" applyBorder="1" applyAlignment="1">
      <alignment horizontal="center"/>
    </xf>
    <xf numFmtId="3" fontId="4" fillId="0" borderId="0" xfId="0" applyNumberFormat="1" applyFont="1"/>
    <xf numFmtId="0" fontId="1" fillId="0" borderId="4" xfId="0" applyFont="1" applyBorder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19" xfId="0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indent="1"/>
    </xf>
    <xf numFmtId="0" fontId="4" fillId="0" borderId="8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 indent="1"/>
    </xf>
    <xf numFmtId="4" fontId="4" fillId="0" borderId="0" xfId="0" applyNumberFormat="1" applyFont="1"/>
    <xf numFmtId="0" fontId="4" fillId="0" borderId="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/>
    </xf>
    <xf numFmtId="0" fontId="4" fillId="3" borderId="0" xfId="0" applyFont="1" applyFill="1"/>
    <xf numFmtId="0" fontId="4" fillId="0" borderId="5" xfId="0" applyFont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4" xfId="0" applyFont="1" applyBorder="1" applyAlignment="1">
      <alignment vertical="top" wrapText="1"/>
    </xf>
    <xf numFmtId="4" fontId="4" fillId="0" borderId="3" xfId="0" applyNumberFormat="1" applyFont="1" applyBorder="1"/>
    <xf numFmtId="4" fontId="4" fillId="0" borderId="3" xfId="0" applyNumberFormat="1" applyFont="1" applyFill="1" applyBorder="1" applyAlignment="1">
      <alignment horizontal="right" vertical="top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/>
    <xf numFmtId="0" fontId="4" fillId="0" borderId="3" xfId="0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0" borderId="0" xfId="0" applyNumberFormat="1" applyFont="1" applyAlignment="1">
      <alignment horizontal="center"/>
    </xf>
    <xf numFmtId="0" fontId="4" fillId="0" borderId="6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0" xfId="0" applyFont="1" applyFill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/>
    </xf>
    <xf numFmtId="0" fontId="4" fillId="3" borderId="0" xfId="0" applyFont="1" applyFill="1" applyAlignment="1">
      <alignment vertical="center"/>
    </xf>
    <xf numFmtId="0" fontId="3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7" fillId="0" borderId="9" xfId="0" applyNumberFormat="1" applyFont="1" applyBorder="1" applyAlignment="1">
      <alignment horizontal="right" vertical="top"/>
    </xf>
    <xf numFmtId="3" fontId="7" fillId="0" borderId="4" xfId="0" applyNumberFormat="1" applyFont="1" applyBorder="1" applyAlignment="1">
      <alignment horizontal="left" vertical="center"/>
    </xf>
    <xf numFmtId="3" fontId="7" fillId="0" borderId="9" xfId="0" applyNumberFormat="1" applyFont="1" applyBorder="1" applyAlignment="1">
      <alignment horizontal="left" vertical="center"/>
    </xf>
    <xf numFmtId="3" fontId="7" fillId="0" borderId="4" xfId="0" applyNumberFormat="1" applyFont="1" applyBorder="1" applyAlignment="1">
      <alignment horizontal="right" vertical="center"/>
    </xf>
    <xf numFmtId="3" fontId="7" fillId="0" borderId="9" xfId="0" applyNumberFormat="1" applyFont="1" applyBorder="1" applyAlignment="1">
      <alignment horizontal="right" vertical="center"/>
    </xf>
    <xf numFmtId="3" fontId="7" fillId="3" borderId="11" xfId="0" applyNumberFormat="1" applyFont="1" applyFill="1" applyBorder="1" applyAlignment="1">
      <alignment horizontal="right" vertical="center"/>
    </xf>
    <xf numFmtId="3" fontId="7" fillId="3" borderId="12" xfId="0" applyNumberFormat="1" applyFont="1" applyFill="1" applyBorder="1" applyAlignment="1">
      <alignment horizontal="right" vertical="center"/>
    </xf>
    <xf numFmtId="0" fontId="7" fillId="0" borderId="7" xfId="0" applyFont="1" applyBorder="1" applyAlignment="1">
      <alignment horizontal="right" vertical="top"/>
    </xf>
    <xf numFmtId="3" fontId="7" fillId="0" borderId="4" xfId="0" applyNumberFormat="1" applyFont="1" applyBorder="1" applyAlignment="1">
      <alignment horizontal="right" vertical="top"/>
    </xf>
    <xf numFmtId="3" fontId="11" fillId="0" borderId="4" xfId="0" applyNumberFormat="1" applyFont="1" applyBorder="1" applyAlignment="1">
      <alignment horizontal="right" vertical="top"/>
    </xf>
    <xf numFmtId="3" fontId="11" fillId="0" borderId="9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3" fontId="11" fillId="0" borderId="4" xfId="0" applyNumberFormat="1" applyFont="1" applyBorder="1" applyAlignment="1">
      <alignment horizontal="right" vertical="center"/>
    </xf>
    <xf numFmtId="3" fontId="11" fillId="0" borderId="9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horizontal="right" vertical="center"/>
    </xf>
    <xf numFmtId="3" fontId="11" fillId="0" borderId="4" xfId="0" applyNumberFormat="1" applyFont="1" applyBorder="1" applyAlignment="1">
      <alignment vertical="center"/>
    </xf>
    <xf numFmtId="3" fontId="11" fillId="0" borderId="9" xfId="0" applyNumberFormat="1" applyFont="1" applyBorder="1" applyAlignment="1">
      <alignment vertical="center"/>
    </xf>
    <xf numFmtId="0" fontId="7" fillId="0" borderId="9" xfId="0" applyFont="1" applyBorder="1" applyAlignment="1">
      <alignment horizontal="right" vertical="center"/>
    </xf>
    <xf numFmtId="1" fontId="7" fillId="0" borderId="4" xfId="0" applyNumberFormat="1" applyFont="1" applyBorder="1" applyAlignment="1">
      <alignment horizontal="left" vertical="center" wrapText="1"/>
    </xf>
    <xf numFmtId="1" fontId="7" fillId="0" borderId="9" xfId="0" applyNumberFormat="1" applyFont="1" applyBorder="1" applyAlignment="1">
      <alignment horizontal="left" vertical="center" wrapText="1"/>
    </xf>
    <xf numFmtId="3" fontId="7" fillId="0" borderId="4" xfId="0" applyNumberFormat="1" applyFont="1" applyBorder="1" applyAlignment="1">
      <alignment vertical="center"/>
    </xf>
    <xf numFmtId="3" fontId="7" fillId="0" borderId="3" xfId="0" applyNumberFormat="1" applyFont="1" applyFill="1" applyBorder="1" applyAlignment="1">
      <alignment horizontal="right" vertical="center"/>
    </xf>
    <xf numFmtId="3" fontId="7" fillId="0" borderId="3" xfId="0" applyNumberFormat="1" applyFont="1" applyBorder="1" applyAlignment="1">
      <alignment vertical="center"/>
    </xf>
    <xf numFmtId="1" fontId="7" fillId="0" borderId="9" xfId="0" applyNumberFormat="1" applyFont="1" applyBorder="1" applyAlignment="1">
      <alignment horizontal="right" vertical="center"/>
    </xf>
    <xf numFmtId="1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3" fontId="7" fillId="0" borderId="12" xfId="0" applyNumberFormat="1" applyFont="1" applyBorder="1" applyAlignment="1">
      <alignment horizontal="left" vertical="center"/>
    </xf>
    <xf numFmtId="3" fontId="7" fillId="0" borderId="11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3" fontId="7" fillId="0" borderId="6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/>
    <xf numFmtId="0" fontId="3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left" vertical="center"/>
    </xf>
    <xf numFmtId="3" fontId="4" fillId="0" borderId="0" xfId="0" applyNumberFormat="1" applyFont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4" fontId="2" fillId="0" borderId="4" xfId="0" applyNumberFormat="1" applyFont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3" fontId="7" fillId="3" borderId="4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vertical="center"/>
    </xf>
    <xf numFmtId="164" fontId="7" fillId="0" borderId="4" xfId="0" applyNumberFormat="1" applyFont="1" applyBorder="1" applyAlignment="1">
      <alignment horizontal="left" vertical="center"/>
    </xf>
    <xf numFmtId="164" fontId="7" fillId="2" borderId="4" xfId="0" applyNumberFormat="1" applyFont="1" applyFill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right" vertical="center"/>
    </xf>
    <xf numFmtId="3" fontId="7" fillId="3" borderId="9" xfId="0" applyNumberFormat="1" applyFont="1" applyFill="1" applyBorder="1" applyAlignment="1">
      <alignment horizontal="right" vertical="center"/>
    </xf>
    <xf numFmtId="3" fontId="7" fillId="2" borderId="9" xfId="0" applyNumberFormat="1" applyFont="1" applyFill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3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3" fontId="7" fillId="2" borderId="11" xfId="0" applyNumberFormat="1" applyFont="1" applyFill="1" applyBorder="1" applyAlignment="1">
      <alignment horizontal="right" vertical="center"/>
    </xf>
    <xf numFmtId="3" fontId="7" fillId="2" borderId="12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3" fontId="7" fillId="3" borderId="6" xfId="0" applyNumberFormat="1" applyFont="1" applyFill="1" applyBorder="1" applyAlignment="1">
      <alignment horizontal="right" vertical="center"/>
    </xf>
    <xf numFmtId="164" fontId="7" fillId="0" borderId="9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164" fontId="7" fillId="0" borderId="11" xfId="0" applyNumberFormat="1" applyFont="1" applyBorder="1" applyAlignment="1">
      <alignment horizontal="left" vertical="center"/>
    </xf>
    <xf numFmtId="164" fontId="7" fillId="0" borderId="12" xfId="0" applyNumberFormat="1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top"/>
    </xf>
    <xf numFmtId="0" fontId="4" fillId="0" borderId="27" xfId="0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/>
    </xf>
    <xf numFmtId="0" fontId="3" fillId="0" borderId="1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3" fontId="7" fillId="0" borderId="15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right" vertical="center"/>
    </xf>
    <xf numFmtId="3" fontId="7" fillId="0" borderId="17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9" xfId="0" applyNumberFormat="1" applyFont="1" applyFill="1" applyBorder="1" applyAlignment="1">
      <alignment horizontal="right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/>
    </xf>
    <xf numFmtId="3" fontId="7" fillId="0" borderId="6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3" fontId="7" fillId="0" borderId="12" xfId="0" applyNumberFormat="1" applyFont="1" applyBorder="1" applyAlignment="1">
      <alignment horizontal="center"/>
    </xf>
    <xf numFmtId="0" fontId="4" fillId="0" borderId="2" xfId="0" applyFont="1" applyBorder="1" applyAlignment="1">
      <alignment horizontal="right" vertical="top"/>
    </xf>
    <xf numFmtId="0" fontId="7" fillId="2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7" fillId="0" borderId="6" xfId="0" applyFont="1" applyBorder="1" applyAlignment="1">
      <alignment horizontal="right" vertical="top"/>
    </xf>
    <xf numFmtId="3" fontId="7" fillId="2" borderId="4" xfId="0" applyNumberFormat="1" applyFont="1" applyFill="1" applyBorder="1" applyAlignment="1">
      <alignment horizontal="right" vertical="top"/>
    </xf>
    <xf numFmtId="3" fontId="7" fillId="2" borderId="9" xfId="0" applyNumberFormat="1" applyFont="1" applyFill="1" applyBorder="1" applyAlignment="1">
      <alignment horizontal="right" vertical="top"/>
    </xf>
    <xf numFmtId="3" fontId="11" fillId="0" borderId="11" xfId="0" applyNumberFormat="1" applyFont="1" applyBorder="1" applyAlignment="1">
      <alignment horizontal="right" vertical="top"/>
    </xf>
    <xf numFmtId="3" fontId="11" fillId="0" borderId="12" xfId="0" applyNumberFormat="1" applyFont="1" applyBorder="1" applyAlignment="1">
      <alignment horizontal="right" vertical="top"/>
    </xf>
    <xf numFmtId="0" fontId="11" fillId="0" borderId="5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11" fillId="0" borderId="4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/>
    </xf>
    <xf numFmtId="0" fontId="11" fillId="0" borderId="1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/>
    </xf>
    <xf numFmtId="0" fontId="3" fillId="0" borderId="1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2" fontId="8" fillId="0" borderId="4" xfId="0" applyNumberFormat="1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1" fillId="0" borderId="15" xfId="0" applyFont="1" applyBorder="1" applyAlignment="1">
      <alignment vertical="top" wrapText="1"/>
    </xf>
    <xf numFmtId="0" fontId="7" fillId="0" borderId="32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2" fillId="0" borderId="3" xfId="0" applyFont="1" applyBorder="1" applyAlignment="1">
      <alignment horizontal="center" vertical="top"/>
    </xf>
    <xf numFmtId="0" fontId="11" fillId="0" borderId="13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7" fillId="0" borderId="31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2"/>
  <sheetViews>
    <sheetView tabSelected="1" topLeftCell="A190" zoomScaleNormal="100" workbookViewId="0">
      <selection activeCell="B190" sqref="B190"/>
    </sheetView>
  </sheetViews>
  <sheetFormatPr defaultColWidth="40" defaultRowHeight="12.75" x14ac:dyDescent="0.2"/>
  <cols>
    <col min="1" max="1" width="16.140625" style="56" customWidth="1"/>
    <col min="2" max="2" width="35.28515625" style="11" customWidth="1"/>
    <col min="3" max="3" width="6.7109375" style="142" customWidth="1"/>
    <col min="4" max="4" width="7.7109375" style="11" bestFit="1" customWidth="1"/>
    <col min="5" max="5" width="10.28515625" style="56" bestFit="1" customWidth="1"/>
    <col min="6" max="6" width="10.140625" style="56" bestFit="1" customWidth="1"/>
    <col min="7" max="7" width="14.5703125" style="56" bestFit="1" customWidth="1"/>
    <col min="8" max="16384" width="40" style="11"/>
  </cols>
  <sheetData>
    <row r="2" spans="1:7" x14ac:dyDescent="0.2">
      <c r="A2" s="271" t="s">
        <v>856</v>
      </c>
      <c r="B2" s="271"/>
      <c r="C2" s="271"/>
      <c r="D2" s="271"/>
      <c r="E2" s="271"/>
      <c r="F2" s="271"/>
      <c r="G2" s="271"/>
    </row>
    <row r="3" spans="1:7" x14ac:dyDescent="0.2">
      <c r="A3" s="151"/>
      <c r="B3" s="151"/>
      <c r="C3" s="151"/>
      <c r="D3" s="151"/>
      <c r="E3" s="151"/>
      <c r="F3" s="151"/>
      <c r="G3" s="151"/>
    </row>
    <row r="4" spans="1:7" x14ac:dyDescent="0.2">
      <c r="A4" s="272" t="s">
        <v>1251</v>
      </c>
      <c r="B4" s="272"/>
      <c r="C4" s="272"/>
      <c r="D4" s="272"/>
      <c r="E4" s="272"/>
      <c r="F4" s="272"/>
      <c r="G4" s="272"/>
    </row>
    <row r="6" spans="1:7" ht="13.5" thickBot="1" x14ac:dyDescent="0.25">
      <c r="G6" s="110" t="s">
        <v>24</v>
      </c>
    </row>
    <row r="7" spans="1:7" s="56" customFormat="1" x14ac:dyDescent="0.2">
      <c r="A7" s="273" t="s">
        <v>25</v>
      </c>
      <c r="B7" s="276" t="s">
        <v>26</v>
      </c>
      <c r="C7" s="279" t="s">
        <v>14</v>
      </c>
      <c r="D7" s="282" t="s">
        <v>0</v>
      </c>
      <c r="E7" s="276" t="s">
        <v>27</v>
      </c>
      <c r="F7" s="276"/>
      <c r="G7" s="285"/>
    </row>
    <row r="8" spans="1:7" s="56" customFormat="1" x14ac:dyDescent="0.2">
      <c r="A8" s="274"/>
      <c r="B8" s="277"/>
      <c r="C8" s="280"/>
      <c r="D8" s="283"/>
      <c r="E8" s="283" t="s">
        <v>28</v>
      </c>
      <c r="F8" s="277" t="s">
        <v>1</v>
      </c>
      <c r="G8" s="286"/>
    </row>
    <row r="9" spans="1:7" s="56" customFormat="1" ht="23.25" thickBot="1" x14ac:dyDescent="0.25">
      <c r="A9" s="275"/>
      <c r="B9" s="278"/>
      <c r="C9" s="281"/>
      <c r="D9" s="284"/>
      <c r="E9" s="284"/>
      <c r="F9" s="45" t="s">
        <v>29</v>
      </c>
      <c r="G9" s="46" t="s">
        <v>30</v>
      </c>
    </row>
    <row r="10" spans="1:7" s="9" customFormat="1" ht="13.5" thickBot="1" x14ac:dyDescent="0.25">
      <c r="A10" s="77" t="s">
        <v>31</v>
      </c>
      <c r="B10" s="21" t="s">
        <v>32</v>
      </c>
      <c r="C10" s="143" t="s">
        <v>800</v>
      </c>
      <c r="D10" s="21" t="s">
        <v>34</v>
      </c>
      <c r="E10" s="96" t="s">
        <v>35</v>
      </c>
      <c r="F10" s="96" t="s">
        <v>36</v>
      </c>
      <c r="G10" s="111" t="s">
        <v>37</v>
      </c>
    </row>
    <row r="11" spans="1:7" x14ac:dyDescent="0.2">
      <c r="A11" s="78"/>
      <c r="B11" s="68" t="s">
        <v>746</v>
      </c>
      <c r="C11" s="144"/>
      <c r="D11" s="23"/>
      <c r="E11" s="112"/>
      <c r="F11" s="112"/>
      <c r="G11" s="113"/>
    </row>
    <row r="12" spans="1:7" x14ac:dyDescent="0.2">
      <c r="A12" s="57" t="s">
        <v>38</v>
      </c>
      <c r="B12" s="69" t="s">
        <v>747</v>
      </c>
      <c r="C12" s="145" t="s">
        <v>801</v>
      </c>
      <c r="D12" s="25"/>
      <c r="E12" s="114">
        <v>0</v>
      </c>
      <c r="F12" s="115"/>
      <c r="G12" s="116"/>
    </row>
    <row r="13" spans="1:7" ht="22.5" x14ac:dyDescent="0.2">
      <c r="A13" s="57"/>
      <c r="B13" s="70" t="s">
        <v>748</v>
      </c>
      <c r="C13" s="145" t="s">
        <v>802</v>
      </c>
      <c r="D13" s="25"/>
      <c r="E13" s="117">
        <f>SUM(E14+E15+E16+E17+E20+E21+E32+E34+E32+E34)</f>
        <v>308112</v>
      </c>
      <c r="F13" s="117">
        <f>SUM(F14+F15+F16+F17+F20+F21+F32+F34)</f>
        <v>67773</v>
      </c>
      <c r="G13" s="118">
        <f>SUM(G14+G15+G16+G17+G20+G21+G32+G34)</f>
        <v>78253</v>
      </c>
    </row>
    <row r="14" spans="1:7" ht="19.5" x14ac:dyDescent="0.2">
      <c r="A14" s="49" t="s">
        <v>39</v>
      </c>
      <c r="B14" s="65" t="s">
        <v>749</v>
      </c>
      <c r="C14" s="145" t="s">
        <v>803</v>
      </c>
      <c r="D14" s="25"/>
      <c r="E14" s="102">
        <f>9529-3369</f>
        <v>6160</v>
      </c>
      <c r="F14" s="102">
        <v>3336</v>
      </c>
      <c r="G14" s="103">
        <v>4400</v>
      </c>
    </row>
    <row r="15" spans="1:7" x14ac:dyDescent="0.2">
      <c r="A15" s="57" t="s">
        <v>40</v>
      </c>
      <c r="B15" s="64" t="s">
        <v>750</v>
      </c>
      <c r="C15" s="145" t="s">
        <v>804</v>
      </c>
      <c r="D15" s="25"/>
      <c r="E15" s="100"/>
      <c r="F15" s="100"/>
      <c r="G15" s="103"/>
    </row>
    <row r="16" spans="1:7" x14ac:dyDescent="0.2">
      <c r="A16" s="57" t="s">
        <v>41</v>
      </c>
      <c r="B16" s="64" t="s">
        <v>751</v>
      </c>
      <c r="C16" s="145" t="s">
        <v>805</v>
      </c>
      <c r="D16" s="25"/>
      <c r="E16" s="102">
        <f>25648+6135+897-10176-6135</f>
        <v>16369</v>
      </c>
      <c r="F16" s="102">
        <f>20508+6135+153</f>
        <v>26796</v>
      </c>
      <c r="G16" s="103">
        <f>81+31187+152</f>
        <v>31420</v>
      </c>
    </row>
    <row r="17" spans="1:9" ht="22.5" x14ac:dyDescent="0.2">
      <c r="A17" s="49" t="s">
        <v>42</v>
      </c>
      <c r="B17" s="65" t="s">
        <v>2</v>
      </c>
      <c r="C17" s="145" t="s">
        <v>806</v>
      </c>
      <c r="D17" s="25"/>
      <c r="E17" s="102">
        <f>SUM(E18+E19)</f>
        <v>9135</v>
      </c>
      <c r="F17" s="102">
        <f>SUM(F18+F19)</f>
        <v>13081</v>
      </c>
      <c r="G17" s="103">
        <v>17276</v>
      </c>
    </row>
    <row r="18" spans="1:9" ht="29.25" x14ac:dyDescent="0.2">
      <c r="A18" s="49" t="s">
        <v>43</v>
      </c>
      <c r="B18" s="65" t="s">
        <v>752</v>
      </c>
      <c r="C18" s="145" t="s">
        <v>807</v>
      </c>
      <c r="D18" s="25"/>
      <c r="E18" s="102">
        <f>32291+84-23240</f>
        <v>9135</v>
      </c>
      <c r="F18" s="102">
        <f>12997+84</f>
        <v>13081</v>
      </c>
      <c r="G18" s="103">
        <f>17192+84</f>
        <v>17276</v>
      </c>
    </row>
    <row r="19" spans="1:9" ht="19.5" x14ac:dyDescent="0.2">
      <c r="A19" s="49" t="s">
        <v>44</v>
      </c>
      <c r="B19" s="64" t="s">
        <v>753</v>
      </c>
      <c r="C19" s="145" t="s">
        <v>808</v>
      </c>
      <c r="D19" s="25"/>
      <c r="E19" s="100"/>
      <c r="F19" s="100"/>
      <c r="G19" s="103"/>
      <c r="I19" s="18"/>
    </row>
    <row r="20" spans="1:9" ht="19.5" x14ac:dyDescent="0.2">
      <c r="A20" s="49" t="s">
        <v>45</v>
      </c>
      <c r="B20" s="64" t="s">
        <v>754</v>
      </c>
      <c r="C20" s="145" t="s">
        <v>809</v>
      </c>
      <c r="D20" s="25"/>
      <c r="E20" s="100"/>
      <c r="F20" s="100"/>
      <c r="G20" s="101"/>
      <c r="I20" s="26"/>
    </row>
    <row r="21" spans="1:9" ht="22.5" x14ac:dyDescent="0.2">
      <c r="A21" s="49" t="s">
        <v>46</v>
      </c>
      <c r="B21" s="65" t="s">
        <v>755</v>
      </c>
      <c r="C21" s="145" t="s">
        <v>810</v>
      </c>
      <c r="D21" s="25"/>
      <c r="E21" s="102">
        <f>SUM(E22+E26)</f>
        <v>276448</v>
      </c>
      <c r="F21" s="102">
        <f t="shared" ref="F21:G21" si="0">SUM(F22+F26)</f>
        <v>24560</v>
      </c>
      <c r="G21" s="103">
        <f t="shared" si="0"/>
        <v>24410</v>
      </c>
    </row>
    <row r="22" spans="1:9" x14ac:dyDescent="0.2">
      <c r="A22" s="57"/>
      <c r="B22" s="64" t="s">
        <v>756</v>
      </c>
      <c r="C22" s="145" t="s">
        <v>811</v>
      </c>
      <c r="D22" s="25"/>
      <c r="E22" s="102">
        <f>SUM(E23+E24+E25)</f>
        <v>1164</v>
      </c>
      <c r="F22" s="102">
        <f t="shared" ref="F22:G22" si="1">SUM(F23+F24+F25)</f>
        <v>0</v>
      </c>
      <c r="G22" s="103">
        <f t="shared" si="1"/>
        <v>0</v>
      </c>
    </row>
    <row r="23" spans="1:9" x14ac:dyDescent="0.2">
      <c r="A23" s="49" t="s">
        <v>47</v>
      </c>
      <c r="B23" s="64" t="s">
        <v>757</v>
      </c>
      <c r="C23" s="145" t="s">
        <v>812</v>
      </c>
      <c r="D23" s="25"/>
      <c r="E23" s="100"/>
      <c r="F23" s="100"/>
      <c r="G23" s="101"/>
    </row>
    <row r="24" spans="1:9" ht="22.5" x14ac:dyDescent="0.2">
      <c r="A24" s="49" t="s">
        <v>48</v>
      </c>
      <c r="B24" s="65" t="s">
        <v>758</v>
      </c>
      <c r="C24" s="145" t="s">
        <v>813</v>
      </c>
      <c r="D24" s="25"/>
      <c r="E24" s="102">
        <v>1164</v>
      </c>
      <c r="F24" s="102">
        <v>0</v>
      </c>
      <c r="G24" s="103">
        <v>0</v>
      </c>
      <c r="I24" s="26"/>
    </row>
    <row r="25" spans="1:9" s="56" customFormat="1" x14ac:dyDescent="0.2">
      <c r="A25" s="49" t="s">
        <v>49</v>
      </c>
      <c r="B25" s="64" t="s">
        <v>759</v>
      </c>
      <c r="C25" s="145" t="s">
        <v>814</v>
      </c>
      <c r="D25" s="55"/>
      <c r="E25" s="100"/>
      <c r="F25" s="100"/>
      <c r="G25" s="101"/>
    </row>
    <row r="26" spans="1:9" s="56" customFormat="1" ht="22.5" x14ac:dyDescent="0.2">
      <c r="A26" s="57"/>
      <c r="B26" s="65" t="s">
        <v>760</v>
      </c>
      <c r="C26" s="145" t="s">
        <v>815</v>
      </c>
      <c r="D26" s="55"/>
      <c r="E26" s="102">
        <f>SUM(E27+E30+E31)</f>
        <v>275284</v>
      </c>
      <c r="F26" s="102">
        <f t="shared" ref="F26:G26" si="2">SUM(F27+F30+F31)</f>
        <v>24560</v>
      </c>
      <c r="G26" s="103">
        <f t="shared" si="2"/>
        <v>24410</v>
      </c>
    </row>
    <row r="27" spans="1:9" s="56" customFormat="1" ht="22.5" x14ac:dyDescent="0.2">
      <c r="A27" s="49" t="s">
        <v>50</v>
      </c>
      <c r="B27" s="66" t="s">
        <v>761</v>
      </c>
      <c r="C27" s="145" t="s">
        <v>816</v>
      </c>
      <c r="D27" s="55"/>
      <c r="E27" s="102">
        <f>SUM(E28+E29)</f>
        <v>275284</v>
      </c>
      <c r="F27" s="102">
        <f t="shared" ref="F27:G27" si="3">SUM(F28+F29)</f>
        <v>24560</v>
      </c>
      <c r="G27" s="103">
        <f t="shared" si="3"/>
        <v>24410</v>
      </c>
    </row>
    <row r="28" spans="1:9" s="56" customFormat="1" ht="22.5" x14ac:dyDescent="0.2">
      <c r="A28" s="49" t="s">
        <v>51</v>
      </c>
      <c r="B28" s="65" t="s">
        <v>762</v>
      </c>
      <c r="C28" s="145" t="s">
        <v>817</v>
      </c>
      <c r="D28" s="55"/>
      <c r="E28" s="102">
        <v>274219</v>
      </c>
      <c r="F28" s="102">
        <v>23460</v>
      </c>
      <c r="G28" s="103">
        <v>23274</v>
      </c>
    </row>
    <row r="29" spans="1:9" s="56" customFormat="1" ht="22.5" x14ac:dyDescent="0.2">
      <c r="A29" s="49" t="s">
        <v>51</v>
      </c>
      <c r="B29" s="65" t="s">
        <v>763</v>
      </c>
      <c r="C29" s="145" t="s">
        <v>818</v>
      </c>
      <c r="D29" s="55"/>
      <c r="E29" s="102">
        <f>2578-1513</f>
        <v>1065</v>
      </c>
      <c r="F29" s="102">
        <f>2710-1610</f>
        <v>1100</v>
      </c>
      <c r="G29" s="103">
        <v>1136</v>
      </c>
    </row>
    <row r="30" spans="1:9" s="56" customFormat="1" x14ac:dyDescent="0.2">
      <c r="A30" s="49" t="s">
        <v>52</v>
      </c>
      <c r="B30" s="64" t="s">
        <v>764</v>
      </c>
      <c r="C30" s="145" t="s">
        <v>819</v>
      </c>
      <c r="D30" s="55"/>
      <c r="E30" s="100"/>
      <c r="F30" s="100"/>
      <c r="G30" s="101"/>
    </row>
    <row r="31" spans="1:9" s="56" customFormat="1" ht="22.5" x14ac:dyDescent="0.2">
      <c r="A31" s="49" t="s">
        <v>49</v>
      </c>
      <c r="B31" s="65" t="s">
        <v>765</v>
      </c>
      <c r="C31" s="145" t="s">
        <v>820</v>
      </c>
      <c r="D31" s="55"/>
      <c r="E31" s="100"/>
      <c r="F31" s="100"/>
      <c r="G31" s="101"/>
    </row>
    <row r="32" spans="1:9" s="56" customFormat="1" ht="13.5" thickBot="1" x14ac:dyDescent="0.25">
      <c r="A32" s="58" t="s">
        <v>53</v>
      </c>
      <c r="B32" s="67" t="s">
        <v>766</v>
      </c>
      <c r="C32" s="146" t="s">
        <v>821</v>
      </c>
      <c r="D32" s="59"/>
      <c r="E32" s="104"/>
      <c r="F32" s="104"/>
      <c r="G32" s="105"/>
      <c r="H32" s="60"/>
    </row>
    <row r="33" spans="1:10" ht="13.5" thickBot="1" x14ac:dyDescent="0.25">
      <c r="B33" s="71"/>
      <c r="E33" s="119"/>
      <c r="F33" s="119"/>
      <c r="G33" s="119"/>
    </row>
    <row r="34" spans="1:10" x14ac:dyDescent="0.2">
      <c r="A34" s="51" t="s">
        <v>54</v>
      </c>
      <c r="B34" s="72" t="s">
        <v>767</v>
      </c>
      <c r="C34" s="144" t="s">
        <v>822</v>
      </c>
      <c r="D34" s="22"/>
      <c r="E34" s="112"/>
      <c r="F34" s="112"/>
      <c r="G34" s="120">
        <v>747</v>
      </c>
    </row>
    <row r="35" spans="1:10" ht="22.5" x14ac:dyDescent="0.2">
      <c r="A35" s="79"/>
      <c r="B35" s="70" t="s">
        <v>768</v>
      </c>
      <c r="C35" s="145" t="s">
        <v>823</v>
      </c>
      <c r="D35" s="14"/>
      <c r="E35" s="121">
        <f>SUM(E36+E37+E38+E58+E59+E62)</f>
        <v>3888486</v>
      </c>
      <c r="F35" s="121">
        <f>SUM(F36+F37+F38+F58+F59+F62)</f>
        <v>3795850</v>
      </c>
      <c r="G35" s="122">
        <f>SUM(G36+G37+G38+G58+G59+G62)</f>
        <v>4005911</v>
      </c>
    </row>
    <row r="36" spans="1:10" x14ac:dyDescent="0.2">
      <c r="A36" s="57" t="s">
        <v>55</v>
      </c>
      <c r="B36" s="64" t="s">
        <v>769</v>
      </c>
      <c r="C36" s="145" t="s">
        <v>824</v>
      </c>
      <c r="D36" s="14"/>
      <c r="E36" s="114">
        <v>260</v>
      </c>
      <c r="F36" s="114">
        <v>27</v>
      </c>
      <c r="G36" s="123">
        <v>14</v>
      </c>
      <c r="I36" s="32"/>
    </row>
    <row r="37" spans="1:10" ht="33.75" x14ac:dyDescent="0.2">
      <c r="A37" s="49" t="s">
        <v>56</v>
      </c>
      <c r="B37" s="65" t="s">
        <v>770</v>
      </c>
      <c r="C37" s="147" t="s">
        <v>825</v>
      </c>
      <c r="D37" s="27"/>
      <c r="E37" s="124"/>
      <c r="F37" s="124"/>
      <c r="G37" s="125"/>
    </row>
    <row r="38" spans="1:10" ht="22.5" x14ac:dyDescent="0.2">
      <c r="A38" s="79"/>
      <c r="B38" s="65" t="s">
        <v>771</v>
      </c>
      <c r="C38" s="145" t="s">
        <v>826</v>
      </c>
      <c r="D38" s="14"/>
      <c r="E38" s="102">
        <f>SUM(E39+E44+E45+E57)</f>
        <v>2524292</v>
      </c>
      <c r="F38" s="102">
        <f>SUM(F39+F44+F45+F57)</f>
        <v>3082137</v>
      </c>
      <c r="G38" s="103">
        <f>SUM(G39+G44+G45+G57)</f>
        <v>2644284</v>
      </c>
      <c r="I38" s="26"/>
    </row>
    <row r="39" spans="1:10" x14ac:dyDescent="0.2">
      <c r="A39" s="79"/>
      <c r="B39" s="73" t="s">
        <v>772</v>
      </c>
      <c r="C39" s="145" t="s">
        <v>827</v>
      </c>
      <c r="D39" s="14"/>
      <c r="E39" s="102">
        <f>SUM(E40+E41+E42+E43)</f>
        <v>618372</v>
      </c>
      <c r="F39" s="102">
        <f t="shared" ref="F39:G39" si="4">SUM(F40+F41+F42+F43)</f>
        <v>792694</v>
      </c>
      <c r="G39" s="103">
        <f t="shared" si="4"/>
        <v>782389</v>
      </c>
      <c r="I39" s="34"/>
    </row>
    <row r="40" spans="1:10" ht="22.5" x14ac:dyDescent="0.2">
      <c r="A40" s="49" t="s">
        <v>57</v>
      </c>
      <c r="B40" s="65" t="s">
        <v>773</v>
      </c>
      <c r="C40" s="145" t="s">
        <v>828</v>
      </c>
      <c r="D40" s="14"/>
      <c r="E40" s="126">
        <f>469855+32391+1181-11495-895-461-1838+14371-8-1057-5-298</f>
        <v>501741</v>
      </c>
      <c r="F40" s="102">
        <f>856386+23454+1945-100198-105791-430-3641+26322-509-298-6-220</f>
        <v>697014</v>
      </c>
      <c r="G40" s="103">
        <f>864139+22757+2195-8460-227760-1801-9265+23660-171-580-2528</f>
        <v>662186</v>
      </c>
      <c r="I40" s="18"/>
    </row>
    <row r="41" spans="1:10" ht="22.5" x14ac:dyDescent="0.2">
      <c r="A41" s="49" t="s">
        <v>57</v>
      </c>
      <c r="B41" s="65" t="s">
        <v>774</v>
      </c>
      <c r="C41" s="145" t="s">
        <v>829</v>
      </c>
      <c r="D41" s="14"/>
      <c r="E41" s="127">
        <f>275393-104440-60903</f>
        <v>110050</v>
      </c>
      <c r="F41" s="102">
        <f>181204-94046-11019</f>
        <v>76139</v>
      </c>
      <c r="G41" s="103">
        <f>139672-18921-13414</f>
        <v>107337</v>
      </c>
      <c r="I41" s="18"/>
      <c r="J41" s="26"/>
    </row>
    <row r="42" spans="1:10" x14ac:dyDescent="0.2">
      <c r="A42" s="49" t="s">
        <v>58</v>
      </c>
      <c r="B42" s="64" t="s">
        <v>775</v>
      </c>
      <c r="C42" s="145" t="s">
        <v>830</v>
      </c>
      <c r="D42" s="14"/>
      <c r="E42" s="102">
        <v>756</v>
      </c>
      <c r="F42" s="102">
        <f>4757-33-4</f>
        <v>4720</v>
      </c>
      <c r="G42" s="103">
        <f>6876-38</f>
        <v>6838</v>
      </c>
      <c r="I42" s="35"/>
    </row>
    <row r="43" spans="1:10" x14ac:dyDescent="0.2">
      <c r="A43" s="49" t="s">
        <v>59</v>
      </c>
      <c r="B43" s="64" t="s">
        <v>776</v>
      </c>
      <c r="C43" s="145" t="s">
        <v>831</v>
      </c>
      <c r="D43" s="14"/>
      <c r="E43" s="128">
        <f>6423-5677-530-216+3606+6+1281+3364-2377-55</f>
        <v>5825</v>
      </c>
      <c r="F43" s="102">
        <f>6097+14032+1550+1491+1953-5677-116-2-3564-181-550-87-125</f>
        <v>14821</v>
      </c>
      <c r="G43" s="103">
        <f>6498+5538+1674+272+12976-14586-6344</f>
        <v>6028</v>
      </c>
      <c r="I43" s="34"/>
    </row>
    <row r="44" spans="1:10" x14ac:dyDescent="0.2">
      <c r="A44" s="49" t="s">
        <v>60</v>
      </c>
      <c r="B44" s="64" t="s">
        <v>777</v>
      </c>
      <c r="C44" s="145" t="s">
        <v>832</v>
      </c>
      <c r="D44" s="14"/>
      <c r="E44" s="102">
        <v>54549</v>
      </c>
      <c r="F44" s="102">
        <v>35885</v>
      </c>
      <c r="G44" s="129">
        <v>0</v>
      </c>
      <c r="I44" s="34"/>
    </row>
    <row r="45" spans="1:10" x14ac:dyDescent="0.2">
      <c r="A45" s="80"/>
      <c r="B45" s="64" t="s">
        <v>778</v>
      </c>
      <c r="C45" s="145" t="s">
        <v>833</v>
      </c>
      <c r="D45" s="14"/>
      <c r="E45" s="102">
        <f>SUM(E46+E50+E55+E56)</f>
        <v>1008490</v>
      </c>
      <c r="F45" s="102">
        <f>SUM(F46+F50+F55+F56)</f>
        <v>1079013</v>
      </c>
      <c r="G45" s="103">
        <f>SUM(G46+G50+G55+G56)</f>
        <v>934762</v>
      </c>
      <c r="I45" s="18"/>
    </row>
    <row r="46" spans="1:10" ht="22.5" x14ac:dyDescent="0.2">
      <c r="A46" s="49" t="s">
        <v>61</v>
      </c>
      <c r="B46" s="65" t="s">
        <v>779</v>
      </c>
      <c r="C46" s="145" t="s">
        <v>834</v>
      </c>
      <c r="D46" s="14"/>
      <c r="E46" s="102">
        <f>SUM(E47+E48+E49)</f>
        <v>505451</v>
      </c>
      <c r="F46" s="102">
        <f t="shared" ref="F46:G46" si="5">SUM(F47+F48+F49)</f>
        <v>300505</v>
      </c>
      <c r="G46" s="103">
        <f t="shared" si="5"/>
        <v>281024</v>
      </c>
      <c r="I46" s="18"/>
    </row>
    <row r="47" spans="1:10" ht="22.5" x14ac:dyDescent="0.2">
      <c r="A47" s="49" t="s">
        <v>62</v>
      </c>
      <c r="B47" s="65" t="s">
        <v>780</v>
      </c>
      <c r="C47" s="145" t="s">
        <v>835</v>
      </c>
      <c r="D47" s="14"/>
      <c r="E47" s="102">
        <v>357933</v>
      </c>
      <c r="F47" s="130"/>
      <c r="G47" s="116"/>
      <c r="I47" s="26"/>
    </row>
    <row r="48" spans="1:10" ht="22.5" x14ac:dyDescent="0.2">
      <c r="A48" s="49" t="s">
        <v>62</v>
      </c>
      <c r="B48" s="65" t="s">
        <v>781</v>
      </c>
      <c r="C48" s="145" t="s">
        <v>836</v>
      </c>
      <c r="D48" s="14"/>
      <c r="E48" s="102">
        <f>325851-178333</f>
        <v>147518</v>
      </c>
      <c r="F48" s="102">
        <v>300505</v>
      </c>
      <c r="G48" s="103">
        <v>281024</v>
      </c>
      <c r="I48" s="26"/>
    </row>
    <row r="49" spans="1:10" ht="33.75" x14ac:dyDescent="0.2">
      <c r="A49" s="49" t="s">
        <v>62</v>
      </c>
      <c r="B49" s="65" t="s">
        <v>782</v>
      </c>
      <c r="C49" s="145" t="s">
        <v>837</v>
      </c>
      <c r="D49" s="14"/>
      <c r="E49" s="102"/>
      <c r="F49" s="115"/>
      <c r="G49" s="116"/>
      <c r="I49" s="26"/>
    </row>
    <row r="50" spans="1:10" ht="33.75" x14ac:dyDescent="0.2">
      <c r="A50" s="49" t="s">
        <v>63</v>
      </c>
      <c r="B50" s="65" t="s">
        <v>783</v>
      </c>
      <c r="C50" s="145" t="s">
        <v>838</v>
      </c>
      <c r="D50" s="14"/>
      <c r="E50" s="102">
        <f>SUM(E51+E52+E53)</f>
        <v>125795</v>
      </c>
      <c r="F50" s="102">
        <f>SUM(F51+F52+F53)</f>
        <v>115114</v>
      </c>
      <c r="G50" s="129">
        <f>SUM(G51+G52+G53)</f>
        <v>0</v>
      </c>
      <c r="I50" s="26"/>
    </row>
    <row r="51" spans="1:10" ht="33.75" x14ac:dyDescent="0.2">
      <c r="A51" s="49" t="s">
        <v>64</v>
      </c>
      <c r="B51" s="65" t="s">
        <v>784</v>
      </c>
      <c r="C51" s="145" t="s">
        <v>839</v>
      </c>
      <c r="D51" s="14"/>
      <c r="E51" s="102">
        <v>125795</v>
      </c>
      <c r="F51" s="102">
        <v>115114</v>
      </c>
      <c r="G51" s="116"/>
      <c r="I51" s="26"/>
    </row>
    <row r="52" spans="1:10" ht="33.75" x14ac:dyDescent="0.2">
      <c r="A52" s="49" t="s">
        <v>64</v>
      </c>
      <c r="B52" s="65" t="s">
        <v>785</v>
      </c>
      <c r="C52" s="145" t="s">
        <v>840</v>
      </c>
      <c r="D52" s="14"/>
      <c r="E52" s="115"/>
      <c r="F52" s="115"/>
      <c r="G52" s="116"/>
      <c r="I52" s="26"/>
      <c r="J52" s="26"/>
    </row>
    <row r="53" spans="1:10" ht="33.75" x14ac:dyDescent="0.2">
      <c r="A53" s="49" t="s">
        <v>64</v>
      </c>
      <c r="B53" s="65" t="s">
        <v>786</v>
      </c>
      <c r="C53" s="145" t="s">
        <v>841</v>
      </c>
      <c r="D53" s="14"/>
      <c r="E53" s="115"/>
      <c r="F53" s="115"/>
      <c r="G53" s="116"/>
    </row>
    <row r="54" spans="1:10" x14ac:dyDescent="0.2">
      <c r="A54" s="81"/>
      <c r="B54" s="74"/>
      <c r="C54" s="148"/>
      <c r="D54" s="36"/>
      <c r="E54" s="131"/>
      <c r="F54" s="131"/>
      <c r="G54" s="132"/>
      <c r="H54" s="37"/>
    </row>
    <row r="55" spans="1:10" x14ac:dyDescent="0.2">
      <c r="A55" s="49" t="s">
        <v>65</v>
      </c>
      <c r="B55" s="64" t="s">
        <v>787</v>
      </c>
      <c r="C55" s="145" t="s">
        <v>842</v>
      </c>
      <c r="D55" s="14"/>
      <c r="E55" s="102">
        <f>498202-120958</f>
        <v>377244</v>
      </c>
      <c r="F55" s="102">
        <f>778036-114642</f>
        <v>663394</v>
      </c>
      <c r="G55" s="103">
        <v>653738</v>
      </c>
      <c r="H55" s="37"/>
      <c r="J55" s="26"/>
    </row>
    <row r="56" spans="1:10" x14ac:dyDescent="0.2">
      <c r="A56" s="49" t="s">
        <v>66</v>
      </c>
      <c r="B56" s="64" t="s">
        <v>788</v>
      </c>
      <c r="C56" s="145" t="s">
        <v>843</v>
      </c>
      <c r="D56" s="14"/>
      <c r="E56" s="115"/>
      <c r="F56" s="115"/>
      <c r="G56" s="116"/>
    </row>
    <row r="57" spans="1:10" x14ac:dyDescent="0.2">
      <c r="A57" s="49" t="s">
        <v>67</v>
      </c>
      <c r="B57" s="64" t="s">
        <v>789</v>
      </c>
      <c r="C57" s="145" t="s">
        <v>844</v>
      </c>
      <c r="D57" s="14"/>
      <c r="E57" s="102">
        <f>70195+703906+68780</f>
        <v>842881</v>
      </c>
      <c r="F57" s="102">
        <f>24591+1150921-967</f>
        <v>1174545</v>
      </c>
      <c r="G57" s="103">
        <v>927133</v>
      </c>
    </row>
    <row r="58" spans="1:10" x14ac:dyDescent="0.2">
      <c r="A58" s="49" t="s">
        <v>68</v>
      </c>
      <c r="B58" s="65" t="s">
        <v>790</v>
      </c>
      <c r="C58" s="145" t="s">
        <v>845</v>
      </c>
      <c r="D58" s="14"/>
      <c r="E58" s="115"/>
      <c r="F58" s="115"/>
      <c r="G58" s="116"/>
    </row>
    <row r="59" spans="1:10" ht="22.5" x14ac:dyDescent="0.2">
      <c r="A59" s="80"/>
      <c r="B59" s="65" t="s">
        <v>791</v>
      </c>
      <c r="C59" s="145" t="s">
        <v>846</v>
      </c>
      <c r="D59" s="14"/>
      <c r="E59" s="102">
        <f>SUM(E60+E61)</f>
        <v>26325</v>
      </c>
      <c r="F59" s="102">
        <f t="shared" ref="F59:G59" si="6">SUM(F60+F61)</f>
        <v>25195</v>
      </c>
      <c r="G59" s="103">
        <f t="shared" si="6"/>
        <v>334827</v>
      </c>
    </row>
    <row r="60" spans="1:10" ht="22.5" x14ac:dyDescent="0.2">
      <c r="A60" s="49" t="s">
        <v>69</v>
      </c>
      <c r="B60" s="65" t="s">
        <v>792</v>
      </c>
      <c r="C60" s="145" t="s">
        <v>847</v>
      </c>
      <c r="D60" s="14"/>
      <c r="E60" s="115"/>
      <c r="F60" s="115"/>
      <c r="G60" s="116"/>
    </row>
    <row r="61" spans="1:10" x14ac:dyDescent="0.2">
      <c r="A61" s="49" t="s">
        <v>70</v>
      </c>
      <c r="B61" s="65" t="s">
        <v>793</v>
      </c>
      <c r="C61" s="145" t="s">
        <v>848</v>
      </c>
      <c r="D61" s="14"/>
      <c r="E61" s="102">
        <f>370+8890+17065</f>
        <v>26325</v>
      </c>
      <c r="F61" s="102">
        <f>376+8636+16183</f>
        <v>25195</v>
      </c>
      <c r="G61" s="103">
        <f>319472+15355</f>
        <v>334827</v>
      </c>
    </row>
    <row r="62" spans="1:10" ht="33.75" x14ac:dyDescent="0.2">
      <c r="A62" s="80"/>
      <c r="B62" s="65" t="s">
        <v>794</v>
      </c>
      <c r="C62" s="145" t="s">
        <v>849</v>
      </c>
      <c r="D62" s="14"/>
      <c r="E62" s="102">
        <f>SUM(E63+E64+E65)</f>
        <v>1337609</v>
      </c>
      <c r="F62" s="102">
        <f t="shared" ref="F62:G62" si="7">SUM(F63+F64+F65)</f>
        <v>688491</v>
      </c>
      <c r="G62" s="103">
        <f t="shared" si="7"/>
        <v>1026786</v>
      </c>
    </row>
    <row r="63" spans="1:10" ht="33.75" x14ac:dyDescent="0.2">
      <c r="A63" s="57" t="s">
        <v>71</v>
      </c>
      <c r="B63" s="65" t="s">
        <v>795</v>
      </c>
      <c r="C63" s="145" t="s">
        <v>850</v>
      </c>
      <c r="D63" s="14"/>
      <c r="E63" s="102">
        <v>328031</v>
      </c>
      <c r="F63" s="102">
        <v>197253</v>
      </c>
      <c r="G63" s="103">
        <v>335487</v>
      </c>
    </row>
    <row r="64" spans="1:10" ht="33.75" x14ac:dyDescent="0.2">
      <c r="A64" s="57" t="s">
        <v>72</v>
      </c>
      <c r="B64" s="65" t="s">
        <v>796</v>
      </c>
      <c r="C64" s="145" t="s">
        <v>851</v>
      </c>
      <c r="D64" s="14"/>
      <c r="E64" s="102">
        <v>1009578</v>
      </c>
      <c r="F64" s="102">
        <v>491238</v>
      </c>
      <c r="G64" s="103">
        <v>691299</v>
      </c>
    </row>
    <row r="65" spans="1:7" ht="33.75" x14ac:dyDescent="0.2">
      <c r="A65" s="57" t="s">
        <v>73</v>
      </c>
      <c r="B65" s="65" t="s">
        <v>797</v>
      </c>
      <c r="C65" s="145" t="s">
        <v>852</v>
      </c>
      <c r="D65" s="14"/>
      <c r="E65" s="115"/>
      <c r="F65" s="115"/>
      <c r="G65" s="101"/>
    </row>
    <row r="66" spans="1:7" x14ac:dyDescent="0.2">
      <c r="A66" s="82"/>
      <c r="B66" s="69" t="s">
        <v>798</v>
      </c>
      <c r="C66" s="149" t="s">
        <v>853</v>
      </c>
      <c r="D66" s="19"/>
      <c r="E66" s="117">
        <f>SUM(E12+E13+E35)</f>
        <v>4196598</v>
      </c>
      <c r="F66" s="117">
        <f>SUM(F12+F13+F35)</f>
        <v>3863623</v>
      </c>
      <c r="G66" s="118">
        <f>SUM(G12+G13+G35)</f>
        <v>4084164</v>
      </c>
    </row>
    <row r="67" spans="1:7" ht="13.5" thickBot="1" x14ac:dyDescent="0.25">
      <c r="A67" s="83" t="s">
        <v>74</v>
      </c>
      <c r="B67" s="75" t="s">
        <v>799</v>
      </c>
      <c r="C67" s="146" t="s">
        <v>854</v>
      </c>
      <c r="D67" s="29"/>
      <c r="E67" s="133"/>
      <c r="F67" s="133"/>
      <c r="G67" s="134"/>
    </row>
    <row r="68" spans="1:7" x14ac:dyDescent="0.2">
      <c r="A68" s="84"/>
      <c r="B68" s="76"/>
      <c r="C68" s="148"/>
      <c r="D68" s="36"/>
      <c r="E68" s="131"/>
      <c r="F68" s="131"/>
      <c r="G68" s="131"/>
    </row>
    <row r="69" spans="1:7" ht="13.5" thickBot="1" x14ac:dyDescent="0.25">
      <c r="A69" s="85"/>
      <c r="B69" s="71"/>
      <c r="E69" s="119"/>
      <c r="F69" s="119"/>
      <c r="G69" s="119"/>
    </row>
    <row r="70" spans="1:7" x14ac:dyDescent="0.2">
      <c r="A70" s="86"/>
      <c r="B70" s="68" t="s">
        <v>75</v>
      </c>
      <c r="C70" s="144"/>
      <c r="D70" s="5"/>
      <c r="E70" s="112"/>
      <c r="F70" s="112"/>
      <c r="G70" s="113"/>
    </row>
    <row r="71" spans="1:7" ht="22.5" x14ac:dyDescent="0.2">
      <c r="A71" s="87"/>
      <c r="B71" s="70" t="s">
        <v>76</v>
      </c>
      <c r="C71" s="145" t="s">
        <v>77</v>
      </c>
      <c r="D71" s="1"/>
      <c r="E71" s="102">
        <f>SUM(E72+E77+E78+E81+E82-E83+E84-E87-E90+E91)</f>
        <v>1183632</v>
      </c>
      <c r="F71" s="102">
        <f>SUM(F72+F77+F78+F81+F82-F83+F84-F87-F90+F91)</f>
        <v>1233043</v>
      </c>
      <c r="G71" s="103">
        <f>SUM(G72+G77+G78+G81+G82-G83+G84-G87-G90+G91)</f>
        <v>1339099</v>
      </c>
    </row>
    <row r="72" spans="1:7" ht="22.5" x14ac:dyDescent="0.2">
      <c r="A72" s="87"/>
      <c r="B72" s="65" t="s">
        <v>78</v>
      </c>
      <c r="C72" s="145" t="s">
        <v>79</v>
      </c>
      <c r="D72" s="1"/>
      <c r="E72" s="102">
        <f>SUM(E73+E74+E75+E76)</f>
        <v>768246</v>
      </c>
      <c r="F72" s="102">
        <f t="shared" ref="F72:G72" si="8">SUM(F73+F74+F75+F76)</f>
        <v>768246</v>
      </c>
      <c r="G72" s="103">
        <f t="shared" si="8"/>
        <v>768246</v>
      </c>
    </row>
    <row r="73" spans="1:7" x14ac:dyDescent="0.2">
      <c r="A73" s="88" t="s">
        <v>80</v>
      </c>
      <c r="B73" s="64" t="s">
        <v>81</v>
      </c>
      <c r="C73" s="145" t="s">
        <v>82</v>
      </c>
      <c r="D73" s="1"/>
      <c r="E73" s="102">
        <v>729747</v>
      </c>
      <c r="F73" s="102">
        <v>729747</v>
      </c>
      <c r="G73" s="103">
        <v>729747</v>
      </c>
    </row>
    <row r="74" spans="1:7" x14ac:dyDescent="0.2">
      <c r="A74" s="88" t="s">
        <v>83</v>
      </c>
      <c r="B74" s="64" t="s">
        <v>84</v>
      </c>
      <c r="C74" s="145" t="s">
        <v>85</v>
      </c>
      <c r="D74" s="1"/>
      <c r="E74" s="102">
        <v>35055</v>
      </c>
      <c r="F74" s="102">
        <v>35055</v>
      </c>
      <c r="G74" s="103">
        <v>35055</v>
      </c>
    </row>
    <row r="75" spans="1:7" x14ac:dyDescent="0.2">
      <c r="A75" s="88" t="s">
        <v>86</v>
      </c>
      <c r="B75" s="64" t="s">
        <v>87</v>
      </c>
      <c r="C75" s="145" t="s">
        <v>88</v>
      </c>
      <c r="D75" s="1"/>
      <c r="E75" s="115"/>
      <c r="F75" s="115"/>
      <c r="G75" s="116"/>
    </row>
    <row r="76" spans="1:7" x14ac:dyDescent="0.2">
      <c r="A76" s="88" t="s">
        <v>89</v>
      </c>
      <c r="B76" s="64" t="s">
        <v>90</v>
      </c>
      <c r="C76" s="145" t="s">
        <v>91</v>
      </c>
      <c r="D76" s="1"/>
      <c r="E76" s="102">
        <v>3444</v>
      </c>
      <c r="F76" s="102">
        <v>3444</v>
      </c>
      <c r="G76" s="103">
        <v>3444</v>
      </c>
    </row>
    <row r="77" spans="1:7" x14ac:dyDescent="0.2">
      <c r="A77" s="88" t="s">
        <v>92</v>
      </c>
      <c r="B77" s="64" t="s">
        <v>93</v>
      </c>
      <c r="C77" s="145" t="s">
        <v>94</v>
      </c>
      <c r="D77" s="1"/>
      <c r="E77" s="115"/>
      <c r="F77" s="115"/>
      <c r="G77" s="116"/>
    </row>
    <row r="78" spans="1:7" x14ac:dyDescent="0.2">
      <c r="A78" s="87"/>
      <c r="B78" s="64" t="s">
        <v>95</v>
      </c>
      <c r="C78" s="145" t="s">
        <v>96</v>
      </c>
      <c r="D78" s="1"/>
      <c r="E78" s="102">
        <f>SUM(E79+E80)</f>
        <v>211756</v>
      </c>
      <c r="F78" s="102">
        <f t="shared" ref="F78:G78" si="9">SUM(F79+F80)</f>
        <v>211756</v>
      </c>
      <c r="G78" s="103">
        <f t="shared" si="9"/>
        <v>211756</v>
      </c>
    </row>
    <row r="79" spans="1:7" x14ac:dyDescent="0.2">
      <c r="A79" s="88" t="s">
        <v>97</v>
      </c>
      <c r="B79" s="64" t="s">
        <v>98</v>
      </c>
      <c r="C79" s="145" t="s">
        <v>99</v>
      </c>
      <c r="D79" s="1"/>
      <c r="E79" s="102">
        <v>57996</v>
      </c>
      <c r="F79" s="102">
        <v>57996</v>
      </c>
      <c r="G79" s="103">
        <v>57996</v>
      </c>
    </row>
    <row r="80" spans="1:7" x14ac:dyDescent="0.2">
      <c r="A80" s="88" t="s">
        <v>100</v>
      </c>
      <c r="B80" s="64" t="s">
        <v>101</v>
      </c>
      <c r="C80" s="145" t="s">
        <v>102</v>
      </c>
      <c r="D80" s="1"/>
      <c r="E80" s="102">
        <f>153737+23</f>
        <v>153760</v>
      </c>
      <c r="F80" s="102">
        <f>153737+23</f>
        <v>153760</v>
      </c>
      <c r="G80" s="103">
        <v>153760</v>
      </c>
    </row>
    <row r="81" spans="1:7" ht="45" x14ac:dyDescent="0.2">
      <c r="A81" s="88" t="s">
        <v>103</v>
      </c>
      <c r="B81" s="65" t="s">
        <v>104</v>
      </c>
      <c r="C81" s="145" t="s">
        <v>105</v>
      </c>
      <c r="D81" s="1"/>
      <c r="E81" s="115"/>
      <c r="F81" s="115"/>
      <c r="G81" s="116"/>
    </row>
    <row r="82" spans="1:7" x14ac:dyDescent="0.2">
      <c r="A82" s="88" t="s">
        <v>106</v>
      </c>
      <c r="B82" s="64" t="s">
        <v>107</v>
      </c>
      <c r="C82" s="145" t="s">
        <v>108</v>
      </c>
      <c r="D82" s="1"/>
      <c r="E82" s="102">
        <f>14861+24321</f>
        <v>39182</v>
      </c>
      <c r="F82" s="102">
        <v>13790</v>
      </c>
      <c r="G82" s="103">
        <v>6869</v>
      </c>
    </row>
    <row r="83" spans="1:7" x14ac:dyDescent="0.2">
      <c r="A83" s="88" t="s">
        <v>109</v>
      </c>
      <c r="B83" s="64" t="s">
        <v>110</v>
      </c>
      <c r="C83" s="145" t="s">
        <v>111</v>
      </c>
      <c r="D83" s="1"/>
      <c r="E83" s="114">
        <v>571</v>
      </c>
      <c r="F83" s="114">
        <v>825</v>
      </c>
      <c r="G83" s="103">
        <v>11235</v>
      </c>
    </row>
    <row r="84" spans="1:7" ht="22.5" x14ac:dyDescent="0.2">
      <c r="A84" s="88" t="s">
        <v>112</v>
      </c>
      <c r="B84" s="65" t="s">
        <v>113</v>
      </c>
      <c r="C84" s="145" t="s">
        <v>114</v>
      </c>
      <c r="D84" s="1"/>
      <c r="E84" s="102">
        <f>SUM(E85+E86)</f>
        <v>240076</v>
      </c>
      <c r="F84" s="102">
        <f t="shared" ref="F84:G84" si="10">SUM(F85+F86)</f>
        <v>363463</v>
      </c>
      <c r="G84" s="103">
        <f t="shared" si="10"/>
        <v>363463</v>
      </c>
    </row>
    <row r="85" spans="1:7" x14ac:dyDescent="0.2">
      <c r="A85" s="88" t="s">
        <v>115</v>
      </c>
      <c r="B85" s="64" t="s">
        <v>116</v>
      </c>
      <c r="C85" s="145" t="s">
        <v>117</v>
      </c>
      <c r="D85" s="1"/>
      <c r="E85" s="102">
        <v>240076</v>
      </c>
      <c r="F85" s="102">
        <v>363463</v>
      </c>
      <c r="G85" s="103">
        <v>150000</v>
      </c>
    </row>
    <row r="86" spans="1:7" x14ac:dyDescent="0.2">
      <c r="A86" s="88" t="s">
        <v>118</v>
      </c>
      <c r="B86" s="64" t="s">
        <v>119</v>
      </c>
      <c r="C86" s="145" t="s">
        <v>120</v>
      </c>
      <c r="D86" s="1"/>
      <c r="E86" s="115"/>
      <c r="F86" s="115"/>
      <c r="G86" s="103">
        <v>213463</v>
      </c>
    </row>
    <row r="87" spans="1:7" ht="22.5" x14ac:dyDescent="0.2">
      <c r="A87" s="88" t="s">
        <v>121</v>
      </c>
      <c r="B87" s="65" t="s">
        <v>122</v>
      </c>
      <c r="C87" s="145" t="s">
        <v>123</v>
      </c>
      <c r="D87" s="1"/>
      <c r="E87" s="102">
        <f t="shared" ref="E87:G87" si="11">SUM(E88+E89)</f>
        <v>75057</v>
      </c>
      <c r="F87" s="102">
        <f t="shared" si="11"/>
        <v>123387</v>
      </c>
      <c r="G87" s="123">
        <f t="shared" si="11"/>
        <v>0</v>
      </c>
    </row>
    <row r="88" spans="1:7" x14ac:dyDescent="0.2">
      <c r="A88" s="88" t="s">
        <v>124</v>
      </c>
      <c r="B88" s="64" t="s">
        <v>125</v>
      </c>
      <c r="C88" s="145" t="s">
        <v>126</v>
      </c>
      <c r="D88" s="1"/>
      <c r="E88" s="115"/>
      <c r="F88" s="100"/>
      <c r="G88" s="116"/>
    </row>
    <row r="89" spans="1:7" x14ac:dyDescent="0.2">
      <c r="A89" s="88" t="s">
        <v>127</v>
      </c>
      <c r="B89" s="64" t="s">
        <v>128</v>
      </c>
      <c r="C89" s="145" t="s">
        <v>129</v>
      </c>
      <c r="D89" s="1"/>
      <c r="E89" s="102">
        <v>75057</v>
      </c>
      <c r="F89" s="102">
        <v>123387</v>
      </c>
      <c r="G89" s="116"/>
    </row>
    <row r="90" spans="1:7" x14ac:dyDescent="0.2">
      <c r="A90" s="88" t="s">
        <v>130</v>
      </c>
      <c r="B90" s="64" t="s">
        <v>131</v>
      </c>
      <c r="C90" s="145" t="s">
        <v>132</v>
      </c>
      <c r="D90" s="1"/>
      <c r="E90" s="115"/>
      <c r="F90" s="115"/>
      <c r="G90" s="116"/>
    </row>
    <row r="91" spans="1:7" x14ac:dyDescent="0.2">
      <c r="A91" s="87"/>
      <c r="B91" s="64" t="s">
        <v>133</v>
      </c>
      <c r="C91" s="145" t="s">
        <v>134</v>
      </c>
      <c r="D91" s="1"/>
      <c r="E91" s="115"/>
      <c r="F91" s="115"/>
      <c r="G91" s="116"/>
    </row>
    <row r="92" spans="1:7" ht="22.5" x14ac:dyDescent="0.2">
      <c r="A92" s="89"/>
      <c r="B92" s="70" t="s">
        <v>135</v>
      </c>
      <c r="C92" s="149" t="s">
        <v>136</v>
      </c>
      <c r="D92" s="8"/>
      <c r="E92" s="117">
        <f>SUM(E93+E100+E104+E106+E115+E124+E128)</f>
        <v>3012966</v>
      </c>
      <c r="F92" s="117">
        <f>SUM(F93+F100+F104+F106+F115+F124+F128)</f>
        <v>2630580</v>
      </c>
      <c r="G92" s="118">
        <f>SUM(G93+G100+G104+G106+G115+G124+G128)</f>
        <v>2745065</v>
      </c>
    </row>
    <row r="93" spans="1:7" ht="22.5" x14ac:dyDescent="0.2">
      <c r="A93" s="87"/>
      <c r="B93" s="65" t="s">
        <v>137</v>
      </c>
      <c r="C93" s="145" t="s">
        <v>138</v>
      </c>
      <c r="D93" s="1"/>
      <c r="E93" s="102">
        <f>SUM(E94+E95+E96+E97+E98+E99)</f>
        <v>249543</v>
      </c>
      <c r="F93" s="102">
        <f t="shared" ref="F93:G93" si="12">SUM(F94+F95+F96+F97+F98+F99)</f>
        <v>226378</v>
      </c>
      <c r="G93" s="103">
        <f t="shared" si="12"/>
        <v>211779</v>
      </c>
    </row>
    <row r="94" spans="1:7" x14ac:dyDescent="0.2">
      <c r="A94" s="88" t="s">
        <v>139</v>
      </c>
      <c r="B94" s="64" t="s">
        <v>140</v>
      </c>
      <c r="C94" s="145" t="s">
        <v>141</v>
      </c>
      <c r="D94" s="1"/>
      <c r="E94" s="102">
        <v>21585</v>
      </c>
      <c r="F94" s="102">
        <v>20183</v>
      </c>
      <c r="G94" s="103">
        <v>19129</v>
      </c>
    </row>
    <row r="95" spans="1:7" ht="33.75" x14ac:dyDescent="0.2">
      <c r="A95" s="88" t="s">
        <v>142</v>
      </c>
      <c r="B95" s="65" t="s">
        <v>143</v>
      </c>
      <c r="C95" s="145" t="s">
        <v>144</v>
      </c>
      <c r="D95" s="1"/>
      <c r="E95" s="115"/>
      <c r="F95" s="115"/>
      <c r="G95" s="116"/>
    </row>
    <row r="96" spans="1:7" x14ac:dyDescent="0.2">
      <c r="A96" s="88" t="s">
        <v>145</v>
      </c>
      <c r="B96" s="64" t="s">
        <v>146</v>
      </c>
      <c r="C96" s="145" t="s">
        <v>147</v>
      </c>
      <c r="D96" s="1"/>
      <c r="E96" s="102">
        <v>220696</v>
      </c>
      <c r="F96" s="102">
        <v>199453</v>
      </c>
      <c r="G96" s="103">
        <v>185971</v>
      </c>
    </row>
    <row r="97" spans="1:7" x14ac:dyDescent="0.2">
      <c r="A97" s="88" t="s">
        <v>148</v>
      </c>
      <c r="B97" s="64" t="s">
        <v>149</v>
      </c>
      <c r="C97" s="145" t="s">
        <v>150</v>
      </c>
      <c r="D97" s="1"/>
      <c r="E97" s="115"/>
      <c r="F97" s="115"/>
      <c r="G97" s="116"/>
    </row>
    <row r="98" spans="1:7" x14ac:dyDescent="0.2">
      <c r="A98" s="88" t="s">
        <v>151</v>
      </c>
      <c r="B98" s="65" t="s">
        <v>152</v>
      </c>
      <c r="C98" s="145" t="s">
        <v>153</v>
      </c>
      <c r="D98" s="1"/>
      <c r="E98" s="115"/>
      <c r="F98" s="115"/>
      <c r="G98" s="116"/>
    </row>
    <row r="99" spans="1:7" x14ac:dyDescent="0.2">
      <c r="A99" s="88" t="s">
        <v>154</v>
      </c>
      <c r="B99" s="64" t="s">
        <v>155</v>
      </c>
      <c r="C99" s="145" t="s">
        <v>156</v>
      </c>
      <c r="D99" s="1"/>
      <c r="E99" s="102">
        <v>7262</v>
      </c>
      <c r="F99" s="102">
        <v>6742</v>
      </c>
      <c r="G99" s="103">
        <v>6679</v>
      </c>
    </row>
    <row r="100" spans="1:7" x14ac:dyDescent="0.2">
      <c r="A100" s="87"/>
      <c r="B100" s="65" t="s">
        <v>157</v>
      </c>
      <c r="C100" s="145" t="s">
        <v>158</v>
      </c>
      <c r="D100" s="1"/>
      <c r="E100" s="102">
        <f>SUM(E101+E102+E103)</f>
        <v>1457</v>
      </c>
      <c r="F100" s="114">
        <f t="shared" ref="F100:G100" si="13">SUM(F101+F102+F103)</f>
        <v>0</v>
      </c>
      <c r="G100" s="123">
        <f t="shared" si="13"/>
        <v>0</v>
      </c>
    </row>
    <row r="101" spans="1:7" ht="22.5" x14ac:dyDescent="0.2">
      <c r="A101" s="88" t="s">
        <v>159</v>
      </c>
      <c r="B101" s="65" t="s">
        <v>160</v>
      </c>
      <c r="C101" s="145" t="s">
        <v>161</v>
      </c>
      <c r="D101" s="1"/>
      <c r="E101" s="115"/>
      <c r="F101" s="115"/>
      <c r="G101" s="116"/>
    </row>
    <row r="102" spans="1:7" ht="22.5" x14ac:dyDescent="0.2">
      <c r="A102" s="88" t="s">
        <v>162</v>
      </c>
      <c r="B102" s="65" t="s">
        <v>163</v>
      </c>
      <c r="C102" s="145" t="s">
        <v>164</v>
      </c>
      <c r="D102" s="1"/>
      <c r="E102" s="115"/>
      <c r="F102" s="115"/>
      <c r="G102" s="116"/>
    </row>
    <row r="103" spans="1:7" ht="22.5" x14ac:dyDescent="0.2">
      <c r="A103" s="90" t="s">
        <v>165</v>
      </c>
      <c r="B103" s="65" t="s">
        <v>166</v>
      </c>
      <c r="C103" s="145" t="s">
        <v>167</v>
      </c>
      <c r="D103" s="1"/>
      <c r="E103" s="102">
        <v>1457</v>
      </c>
      <c r="F103" s="115"/>
      <c r="G103" s="116"/>
    </row>
    <row r="104" spans="1:7" ht="13.5" thickBot="1" x14ac:dyDescent="0.25">
      <c r="A104" s="91" t="s">
        <v>168</v>
      </c>
      <c r="B104" s="67" t="s">
        <v>169</v>
      </c>
      <c r="C104" s="146" t="s">
        <v>170</v>
      </c>
      <c r="D104" s="7"/>
      <c r="E104" s="135">
        <v>4484</v>
      </c>
      <c r="F104" s="135">
        <v>2593</v>
      </c>
      <c r="G104" s="136"/>
    </row>
    <row r="105" spans="1:7" ht="13.5" thickBot="1" x14ac:dyDescent="0.25">
      <c r="A105" s="92"/>
      <c r="B105" s="74"/>
      <c r="C105" s="148"/>
      <c r="D105" s="4"/>
      <c r="E105" s="131"/>
      <c r="F105" s="131"/>
      <c r="G105" s="131"/>
    </row>
    <row r="106" spans="1:7" ht="22.5" x14ac:dyDescent="0.2">
      <c r="A106" s="86"/>
      <c r="B106" s="72" t="s">
        <v>171</v>
      </c>
      <c r="C106" s="144" t="s">
        <v>172</v>
      </c>
      <c r="D106" s="5"/>
      <c r="E106" s="137">
        <f>SUM(E107+E111+E112+E113+E114)</f>
        <v>804930</v>
      </c>
      <c r="F106" s="137">
        <f>SUM(F107+F111+F112+F113+F114)</f>
        <v>1038903</v>
      </c>
      <c r="G106" s="138">
        <f>SUM(G107+G111+G112+G113+G114)</f>
        <v>699602</v>
      </c>
    </row>
    <row r="107" spans="1:7" ht="22.5" x14ac:dyDescent="0.2">
      <c r="A107" s="87"/>
      <c r="B107" s="65" t="s">
        <v>173</v>
      </c>
      <c r="C107" s="145" t="s">
        <v>174</v>
      </c>
      <c r="D107" s="1"/>
      <c r="E107" s="102">
        <f>SUM(E108+E109+E110)</f>
        <v>1457</v>
      </c>
      <c r="F107" s="102">
        <f t="shared" ref="F107:G107" si="14">SUM(F108+F109+F110)</f>
        <v>0</v>
      </c>
      <c r="G107" s="103">
        <f t="shared" si="14"/>
        <v>924</v>
      </c>
    </row>
    <row r="108" spans="1:7" ht="22.5" x14ac:dyDescent="0.2">
      <c r="A108" s="88" t="s">
        <v>175</v>
      </c>
      <c r="B108" s="65" t="s">
        <v>160</v>
      </c>
      <c r="C108" s="145" t="s">
        <v>176</v>
      </c>
      <c r="D108" s="1"/>
      <c r="E108" s="115"/>
      <c r="F108" s="115"/>
      <c r="G108" s="116"/>
    </row>
    <row r="109" spans="1:7" ht="22.5" x14ac:dyDescent="0.2">
      <c r="A109" s="88" t="s">
        <v>177</v>
      </c>
      <c r="B109" s="65" t="s">
        <v>163</v>
      </c>
      <c r="C109" s="145" t="s">
        <v>178</v>
      </c>
      <c r="D109" s="1"/>
      <c r="E109" s="115"/>
      <c r="F109" s="115"/>
      <c r="G109" s="123"/>
    </row>
    <row r="110" spans="1:7" ht="22.5" x14ac:dyDescent="0.2">
      <c r="A110" s="90" t="s">
        <v>179</v>
      </c>
      <c r="B110" s="65" t="s">
        <v>180</v>
      </c>
      <c r="C110" s="145" t="s">
        <v>181</v>
      </c>
      <c r="D110" s="1"/>
      <c r="E110" s="102">
        <v>1457</v>
      </c>
      <c r="F110" s="115"/>
      <c r="G110" s="123">
        <v>924</v>
      </c>
    </row>
    <row r="111" spans="1:7" ht="33.75" x14ac:dyDescent="0.2">
      <c r="A111" s="88" t="s">
        <v>182</v>
      </c>
      <c r="B111" s="65" t="s">
        <v>183</v>
      </c>
      <c r="C111" s="145" t="s">
        <v>184</v>
      </c>
      <c r="D111" s="1"/>
      <c r="E111" s="115"/>
      <c r="F111" s="115"/>
      <c r="G111" s="116"/>
    </row>
    <row r="112" spans="1:7" ht="22.5" x14ac:dyDescent="0.2">
      <c r="A112" s="88" t="s">
        <v>185</v>
      </c>
      <c r="B112" s="65" t="s">
        <v>186</v>
      </c>
      <c r="C112" s="145" t="s">
        <v>187</v>
      </c>
      <c r="D112" s="1"/>
      <c r="E112" s="102">
        <f>219764+187465+1</f>
        <v>407230</v>
      </c>
      <c r="F112" s="102">
        <v>317106</v>
      </c>
      <c r="G112" s="103">
        <v>161001</v>
      </c>
    </row>
    <row r="113" spans="1:7" ht="22.5" x14ac:dyDescent="0.2">
      <c r="A113" s="93" t="s">
        <v>188</v>
      </c>
      <c r="B113" s="65" t="s">
        <v>189</v>
      </c>
      <c r="C113" s="145" t="s">
        <v>190</v>
      </c>
      <c r="D113" s="1"/>
      <c r="E113" s="102">
        <f>342017+16+14393+13211+6157+2+411+330+187+3126+30+182+201+15653+16+311</f>
        <v>396243</v>
      </c>
      <c r="F113" s="102">
        <v>721797</v>
      </c>
      <c r="G113" s="103">
        <v>537125</v>
      </c>
    </row>
    <row r="114" spans="1:7" x14ac:dyDescent="0.2">
      <c r="A114" s="88" t="s">
        <v>191</v>
      </c>
      <c r="B114" s="65" t="s">
        <v>192</v>
      </c>
      <c r="C114" s="145" t="s">
        <v>193</v>
      </c>
      <c r="D114" s="1"/>
      <c r="E114" s="115"/>
      <c r="F114" s="115"/>
      <c r="G114" s="123">
        <v>552</v>
      </c>
    </row>
    <row r="115" spans="1:7" ht="22.5" x14ac:dyDescent="0.2">
      <c r="A115" s="87"/>
      <c r="B115" s="65" t="s">
        <v>194</v>
      </c>
      <c r="C115" s="145" t="s">
        <v>195</v>
      </c>
      <c r="D115" s="1"/>
      <c r="E115" s="102">
        <f>SUM(E116+E120+E121)</f>
        <v>374847</v>
      </c>
      <c r="F115" s="102">
        <f t="shared" ref="F115:G115" si="15">SUM(F116+F120+F121)</f>
        <v>360023</v>
      </c>
      <c r="G115" s="103">
        <f t="shared" si="15"/>
        <v>426845</v>
      </c>
    </row>
    <row r="116" spans="1:7" ht="22.5" x14ac:dyDescent="0.2">
      <c r="A116" s="87"/>
      <c r="B116" s="65" t="s">
        <v>196</v>
      </c>
      <c r="C116" s="145" t="s">
        <v>197</v>
      </c>
      <c r="D116" s="1"/>
      <c r="E116" s="102">
        <f>SUM(E117+E118+E119)</f>
        <v>341696</v>
      </c>
      <c r="F116" s="102">
        <f t="shared" ref="F116:G116" si="16">SUM(F117+F118+F119)</f>
        <v>211058</v>
      </c>
      <c r="G116" s="103">
        <f t="shared" si="16"/>
        <v>346593</v>
      </c>
    </row>
    <row r="117" spans="1:7" x14ac:dyDescent="0.2">
      <c r="A117" s="88" t="s">
        <v>198</v>
      </c>
      <c r="B117" s="65" t="s">
        <v>199</v>
      </c>
      <c r="C117" s="145" t="s">
        <v>200</v>
      </c>
      <c r="D117" s="1"/>
      <c r="E117" s="115"/>
      <c r="F117" s="115"/>
      <c r="G117" s="116"/>
    </row>
    <row r="118" spans="1:7" x14ac:dyDescent="0.2">
      <c r="A118" s="88" t="s">
        <v>201</v>
      </c>
      <c r="B118" s="65" t="s">
        <v>202</v>
      </c>
      <c r="C118" s="145" t="s">
        <v>203</v>
      </c>
      <c r="D118" s="1"/>
      <c r="E118" s="115"/>
      <c r="F118" s="115"/>
      <c r="G118" s="116"/>
    </row>
    <row r="119" spans="1:7" x14ac:dyDescent="0.2">
      <c r="A119" s="88" t="s">
        <v>204</v>
      </c>
      <c r="B119" s="65" t="s">
        <v>205</v>
      </c>
      <c r="C119" s="145" t="s">
        <v>206</v>
      </c>
      <c r="D119" s="1"/>
      <c r="E119" s="102">
        <v>341696</v>
      </c>
      <c r="F119" s="102">
        <v>211058</v>
      </c>
      <c r="G119" s="103">
        <v>346593</v>
      </c>
    </row>
    <row r="120" spans="1:7" x14ac:dyDescent="0.2">
      <c r="A120" s="88" t="s">
        <v>207</v>
      </c>
      <c r="B120" s="65" t="s">
        <v>208</v>
      </c>
      <c r="C120" s="145" t="s">
        <v>209</v>
      </c>
      <c r="D120" s="1"/>
      <c r="E120" s="115"/>
      <c r="F120" s="115"/>
      <c r="G120" s="116"/>
    </row>
    <row r="121" spans="1:7" ht="22.5" x14ac:dyDescent="0.2">
      <c r="A121" s="88" t="s">
        <v>210</v>
      </c>
      <c r="B121" s="65" t="s">
        <v>211</v>
      </c>
      <c r="C121" s="145" t="s">
        <v>212</v>
      </c>
      <c r="D121" s="1"/>
      <c r="E121" s="102">
        <f>SUM(E122+E123)</f>
        <v>33151</v>
      </c>
      <c r="F121" s="102">
        <f t="shared" ref="F121:G121" si="17">SUM(F122+F123)</f>
        <v>148965</v>
      </c>
      <c r="G121" s="103">
        <f t="shared" si="17"/>
        <v>80252</v>
      </c>
    </row>
    <row r="122" spans="1:7" ht="22.5" x14ac:dyDescent="0.2">
      <c r="A122" s="88" t="s">
        <v>213</v>
      </c>
      <c r="B122" s="65" t="s">
        <v>214</v>
      </c>
      <c r="C122" s="145" t="s">
        <v>215</v>
      </c>
      <c r="D122" s="1"/>
      <c r="E122" s="115"/>
      <c r="F122" s="115"/>
      <c r="G122" s="116"/>
    </row>
    <row r="123" spans="1:7" ht="22.5" x14ac:dyDescent="0.2">
      <c r="A123" s="88" t="s">
        <v>216</v>
      </c>
      <c r="B123" s="65" t="s">
        <v>217</v>
      </c>
      <c r="C123" s="145" t="s">
        <v>218</v>
      </c>
      <c r="D123" s="1"/>
      <c r="E123" s="102">
        <f>15036+18115</f>
        <v>33151</v>
      </c>
      <c r="F123" s="102">
        <v>148965</v>
      </c>
      <c r="G123" s="103">
        <v>80252</v>
      </c>
    </row>
    <row r="124" spans="1:7" ht="22.5" x14ac:dyDescent="0.2">
      <c r="A124" s="87"/>
      <c r="B124" s="65" t="s">
        <v>219</v>
      </c>
      <c r="C124" s="145" t="s">
        <v>220</v>
      </c>
      <c r="D124" s="1"/>
      <c r="E124" s="102">
        <f>SUM(E125+E126+E127)</f>
        <v>1577705</v>
      </c>
      <c r="F124" s="114">
        <f t="shared" ref="F124:G124" si="18">SUM(F125+F126+F127)</f>
        <v>1002683</v>
      </c>
      <c r="G124" s="103">
        <f t="shared" si="18"/>
        <v>1406839</v>
      </c>
    </row>
    <row r="125" spans="1:7" x14ac:dyDescent="0.2">
      <c r="A125" s="88" t="s">
        <v>221</v>
      </c>
      <c r="B125" s="65" t="s">
        <v>199</v>
      </c>
      <c r="C125" s="145" t="s">
        <v>222</v>
      </c>
      <c r="D125" s="1"/>
      <c r="E125" s="115"/>
      <c r="F125" s="115"/>
      <c r="G125" s="116"/>
    </row>
    <row r="126" spans="1:7" x14ac:dyDescent="0.2">
      <c r="A126" s="88" t="s">
        <v>223</v>
      </c>
      <c r="B126" s="65" t="s">
        <v>202</v>
      </c>
      <c r="C126" s="145" t="s">
        <v>224</v>
      </c>
      <c r="D126" s="1"/>
      <c r="E126" s="115"/>
      <c r="F126" s="115"/>
      <c r="G126" s="116"/>
    </row>
    <row r="127" spans="1:7" ht="22.5" x14ac:dyDescent="0.2">
      <c r="A127" s="88" t="s">
        <v>225</v>
      </c>
      <c r="B127" s="65" t="s">
        <v>226</v>
      </c>
      <c r="C127" s="145" t="s">
        <v>227</v>
      </c>
      <c r="D127" s="1"/>
      <c r="E127" s="102">
        <v>1577705</v>
      </c>
      <c r="F127" s="102">
        <v>1002683</v>
      </c>
      <c r="G127" s="103">
        <v>1406839</v>
      </c>
    </row>
    <row r="128" spans="1:7" ht="22.5" x14ac:dyDescent="0.2">
      <c r="A128" s="88" t="s">
        <v>207</v>
      </c>
      <c r="B128" s="65" t="s">
        <v>228</v>
      </c>
      <c r="C128" s="145" t="s">
        <v>229</v>
      </c>
      <c r="D128" s="1"/>
      <c r="E128" s="115"/>
      <c r="F128" s="115"/>
      <c r="G128" s="116"/>
    </row>
    <row r="129" spans="1:10" x14ac:dyDescent="0.2">
      <c r="A129" s="88" t="s">
        <v>121</v>
      </c>
      <c r="B129" s="65" t="s">
        <v>230</v>
      </c>
      <c r="C129" s="145" t="s">
        <v>231</v>
      </c>
      <c r="D129" s="1"/>
      <c r="E129" s="115"/>
      <c r="F129" s="115"/>
      <c r="G129" s="116"/>
    </row>
    <row r="130" spans="1:10" x14ac:dyDescent="0.2">
      <c r="A130" s="89"/>
      <c r="B130" s="70" t="s">
        <v>232</v>
      </c>
      <c r="C130" s="149" t="s">
        <v>233</v>
      </c>
      <c r="D130" s="8"/>
      <c r="E130" s="117">
        <f>SUM(E71+E92-E129)</f>
        <v>4196598</v>
      </c>
      <c r="F130" s="117">
        <f>SUM(F71+F92-F129)</f>
        <v>3863623</v>
      </c>
      <c r="G130" s="118">
        <f>SUM(G71+G92-G129)</f>
        <v>4084164</v>
      </c>
    </row>
    <row r="131" spans="1:10" ht="13.5" thickBot="1" x14ac:dyDescent="0.25">
      <c r="A131" s="91" t="s">
        <v>234</v>
      </c>
      <c r="B131" s="6" t="s">
        <v>235</v>
      </c>
      <c r="C131" s="146" t="s">
        <v>236</v>
      </c>
      <c r="D131" s="7"/>
      <c r="E131" s="133"/>
      <c r="F131" s="133"/>
      <c r="G131" s="136"/>
    </row>
    <row r="132" spans="1:10" x14ac:dyDescent="0.2">
      <c r="A132" s="71"/>
      <c r="B132" s="3"/>
      <c r="D132" s="3"/>
      <c r="E132" s="71"/>
      <c r="F132" s="71"/>
      <c r="G132" s="71"/>
    </row>
    <row r="133" spans="1:10" x14ac:dyDescent="0.2">
      <c r="A133" s="94" t="s">
        <v>3</v>
      </c>
      <c r="B133" s="3"/>
      <c r="D133" s="3"/>
      <c r="E133" s="139"/>
      <c r="F133" s="139"/>
      <c r="G133" s="139"/>
    </row>
    <row r="134" spans="1:10" x14ac:dyDescent="0.2">
      <c r="A134" s="71"/>
      <c r="B134" s="3"/>
      <c r="D134" s="3"/>
      <c r="E134" s="71"/>
      <c r="F134" s="71"/>
      <c r="G134" s="71"/>
      <c r="I134" s="26"/>
    </row>
    <row r="135" spans="1:10" x14ac:dyDescent="0.2">
      <c r="A135" s="94"/>
      <c r="B135" s="3"/>
      <c r="D135" s="3"/>
      <c r="E135" s="140"/>
      <c r="F135" s="71"/>
      <c r="G135" s="71"/>
      <c r="I135" s="26"/>
      <c r="J135" s="26"/>
    </row>
    <row r="136" spans="1:10" x14ac:dyDescent="0.2">
      <c r="E136" s="141"/>
      <c r="I136" s="26"/>
      <c r="J136" s="26"/>
    </row>
    <row r="137" spans="1:10" x14ac:dyDescent="0.2">
      <c r="B137" s="18"/>
      <c r="E137" s="141"/>
      <c r="I137" s="26"/>
      <c r="J137" s="26"/>
    </row>
    <row r="138" spans="1:10" x14ac:dyDescent="0.2">
      <c r="B138" s="18"/>
      <c r="E138" s="141"/>
      <c r="I138" s="26"/>
      <c r="J138" s="26"/>
    </row>
    <row r="139" spans="1:10" x14ac:dyDescent="0.2">
      <c r="B139" s="18"/>
      <c r="E139" s="141"/>
      <c r="I139" s="26"/>
      <c r="J139" s="26"/>
    </row>
    <row r="140" spans="1:10" x14ac:dyDescent="0.2">
      <c r="B140" s="18"/>
      <c r="I140" s="26"/>
      <c r="J140" s="26"/>
    </row>
    <row r="141" spans="1:10" x14ac:dyDescent="0.2">
      <c r="B141" s="18"/>
      <c r="I141" s="26"/>
      <c r="J141" s="26"/>
    </row>
    <row r="142" spans="1:10" x14ac:dyDescent="0.2">
      <c r="B142" s="18"/>
      <c r="I142" s="26"/>
      <c r="J142" s="26"/>
    </row>
    <row r="143" spans="1:10" x14ac:dyDescent="0.2">
      <c r="B143" s="18"/>
      <c r="I143" s="26"/>
      <c r="J143" s="26"/>
    </row>
    <row r="144" spans="1:10" x14ac:dyDescent="0.2">
      <c r="B144" s="18"/>
      <c r="I144" s="26"/>
      <c r="J144" s="26"/>
    </row>
    <row r="145" spans="2:11" x14ac:dyDescent="0.2">
      <c r="B145" s="18"/>
      <c r="I145" s="26"/>
      <c r="J145" s="26"/>
    </row>
    <row r="146" spans="2:11" x14ac:dyDescent="0.2">
      <c r="B146" s="18"/>
      <c r="I146" s="26"/>
      <c r="J146" s="26"/>
    </row>
    <row r="147" spans="2:11" x14ac:dyDescent="0.2">
      <c r="B147" s="18"/>
      <c r="I147" s="26"/>
      <c r="J147" s="26"/>
    </row>
    <row r="148" spans="2:11" x14ac:dyDescent="0.2">
      <c r="B148" s="18"/>
      <c r="I148" s="26"/>
      <c r="J148" s="26"/>
    </row>
    <row r="149" spans="2:11" x14ac:dyDescent="0.2">
      <c r="B149" s="18"/>
      <c r="I149" s="26"/>
      <c r="J149" s="26"/>
    </row>
    <row r="150" spans="2:11" x14ac:dyDescent="0.2">
      <c r="B150" s="18"/>
      <c r="I150" s="26"/>
      <c r="J150" s="26"/>
    </row>
    <row r="151" spans="2:11" x14ac:dyDescent="0.2">
      <c r="B151" s="18"/>
      <c r="J151" s="26"/>
      <c r="K151" s="26"/>
    </row>
    <row r="152" spans="2:11" x14ac:dyDescent="0.2">
      <c r="B152" s="18"/>
    </row>
    <row r="153" spans="2:11" x14ac:dyDescent="0.2">
      <c r="B153" s="18"/>
    </row>
    <row r="154" spans="2:11" x14ac:dyDescent="0.2">
      <c r="B154" s="18"/>
    </row>
    <row r="155" spans="2:11" x14ac:dyDescent="0.2">
      <c r="B155" s="18"/>
    </row>
    <row r="156" spans="2:11" x14ac:dyDescent="0.2">
      <c r="B156" s="18"/>
    </row>
    <row r="157" spans="2:11" x14ac:dyDescent="0.2">
      <c r="B157" s="18"/>
    </row>
    <row r="160" spans="2:11" x14ac:dyDescent="0.2">
      <c r="B160" s="18"/>
    </row>
    <row r="161" spans="2:2" x14ac:dyDescent="0.2">
      <c r="B161" s="18"/>
    </row>
    <row r="162" spans="2:2" x14ac:dyDescent="0.2">
      <c r="B162" s="18"/>
    </row>
  </sheetData>
  <mergeCells count="9">
    <mergeCell ref="A2:G2"/>
    <mergeCell ref="A4:G4"/>
    <mergeCell ref="A7:A9"/>
    <mergeCell ref="B7:B9"/>
    <mergeCell ref="C7:C9"/>
    <mergeCell ref="D7:D9"/>
    <mergeCell ref="E7:G7"/>
    <mergeCell ref="E8:E9"/>
    <mergeCell ref="F8:G8"/>
  </mergeCells>
  <pageMargins left="0.25" right="0.25" top="0.45" bottom="0.47" header="0.22" footer="0.3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160"/>
  <sheetViews>
    <sheetView workbookViewId="0">
      <selection activeCell="J12" sqref="J12"/>
    </sheetView>
  </sheetViews>
  <sheetFormatPr defaultColWidth="8.85546875" defaultRowHeight="12.75" x14ac:dyDescent="0.2"/>
  <cols>
    <col min="1" max="1" width="16.140625" style="98" customWidth="1"/>
    <col min="2" max="2" width="35.28515625" style="56" customWidth="1"/>
    <col min="3" max="3" width="6.7109375" style="142" customWidth="1"/>
    <col min="4" max="4" width="7.7109375" style="56" customWidth="1"/>
    <col min="5" max="6" width="16.42578125" style="56" customWidth="1"/>
    <col min="7" max="10" width="8.85546875" style="56"/>
    <col min="11" max="11" width="18.7109375" style="56" customWidth="1"/>
    <col min="12" max="16384" width="8.85546875" style="56"/>
  </cols>
  <sheetData>
    <row r="2" spans="1:6" x14ac:dyDescent="0.2">
      <c r="A2" s="287" t="s">
        <v>855</v>
      </c>
      <c r="B2" s="287"/>
      <c r="C2" s="287"/>
      <c r="D2" s="287"/>
      <c r="E2" s="287"/>
      <c r="F2" s="287"/>
    </row>
    <row r="4" spans="1:6" x14ac:dyDescent="0.2">
      <c r="A4" s="288" t="s">
        <v>1252</v>
      </c>
      <c r="B4" s="288"/>
      <c r="C4" s="288"/>
      <c r="D4" s="288"/>
      <c r="E4" s="288"/>
      <c r="F4" s="288"/>
    </row>
    <row r="6" spans="1:6" ht="13.5" thickBot="1" x14ac:dyDescent="0.25">
      <c r="F6" s="85" t="s">
        <v>24</v>
      </c>
    </row>
    <row r="7" spans="1:6" s="95" customFormat="1" x14ac:dyDescent="0.2">
      <c r="A7" s="273" t="s">
        <v>25</v>
      </c>
      <c r="B7" s="276" t="s">
        <v>26</v>
      </c>
      <c r="C7" s="289" t="s">
        <v>857</v>
      </c>
      <c r="D7" s="282" t="s">
        <v>858</v>
      </c>
      <c r="E7" s="276" t="s">
        <v>864</v>
      </c>
      <c r="F7" s="285"/>
    </row>
    <row r="8" spans="1:6" s="95" customFormat="1" ht="13.5" thickBot="1" x14ac:dyDescent="0.25">
      <c r="A8" s="275"/>
      <c r="B8" s="278"/>
      <c r="C8" s="290"/>
      <c r="D8" s="284"/>
      <c r="E8" s="45" t="s">
        <v>28</v>
      </c>
      <c r="F8" s="46" t="s">
        <v>859</v>
      </c>
    </row>
    <row r="9" spans="1:6" s="95" customFormat="1" ht="13.5" thickBot="1" x14ac:dyDescent="0.25">
      <c r="A9" s="155" t="s">
        <v>237</v>
      </c>
      <c r="B9" s="156" t="s">
        <v>860</v>
      </c>
      <c r="C9" s="169" t="s">
        <v>800</v>
      </c>
      <c r="D9" s="156" t="s">
        <v>861</v>
      </c>
      <c r="E9" s="156" t="s">
        <v>862</v>
      </c>
      <c r="F9" s="157" t="s">
        <v>863</v>
      </c>
    </row>
    <row r="10" spans="1:6" x14ac:dyDescent="0.2">
      <c r="A10" s="181"/>
      <c r="B10" s="160" t="s">
        <v>865</v>
      </c>
      <c r="C10" s="170"/>
      <c r="D10" s="161"/>
      <c r="E10" s="161"/>
      <c r="F10" s="182"/>
    </row>
    <row r="11" spans="1:6" ht="22.5" x14ac:dyDescent="0.2">
      <c r="A11" s="88"/>
      <c r="B11" s="65" t="s">
        <v>238</v>
      </c>
      <c r="C11" s="145" t="s">
        <v>976</v>
      </c>
      <c r="D11" s="55"/>
      <c r="E11" s="102">
        <f>SUM(E12+E19+E24+E25)</f>
        <v>366430</v>
      </c>
      <c r="F11" s="103">
        <f>SUM(F12+F19+F24+F25)</f>
        <v>419958</v>
      </c>
    </row>
    <row r="12" spans="1:6" ht="33.75" x14ac:dyDescent="0.2">
      <c r="A12" s="88"/>
      <c r="B12" s="66" t="s">
        <v>866</v>
      </c>
      <c r="C12" s="145" t="s">
        <v>977</v>
      </c>
      <c r="D12" s="55"/>
      <c r="E12" s="102">
        <f>SUM(E13+E14-E15-E16-E17+E18)</f>
        <v>0</v>
      </c>
      <c r="F12" s="103">
        <f>SUM(F13+F14-F15-F16-F17+F18)</f>
        <v>0</v>
      </c>
    </row>
    <row r="13" spans="1:6" x14ac:dyDescent="0.2">
      <c r="A13" s="90" t="s">
        <v>239</v>
      </c>
      <c r="B13" s="64" t="s">
        <v>867</v>
      </c>
      <c r="C13" s="145" t="s">
        <v>978</v>
      </c>
      <c r="D13" s="55"/>
      <c r="E13" s="100"/>
      <c r="F13" s="101"/>
    </row>
    <row r="14" spans="1:6" x14ac:dyDescent="0.2">
      <c r="A14" s="88" t="s">
        <v>240</v>
      </c>
      <c r="B14" s="64" t="s">
        <v>868</v>
      </c>
      <c r="C14" s="145" t="s">
        <v>979</v>
      </c>
      <c r="D14" s="55"/>
      <c r="E14" s="100"/>
      <c r="F14" s="101"/>
    </row>
    <row r="15" spans="1:6" x14ac:dyDescent="0.2">
      <c r="A15" s="90" t="s">
        <v>241</v>
      </c>
      <c r="B15" s="64" t="s">
        <v>869</v>
      </c>
      <c r="C15" s="145" t="s">
        <v>980</v>
      </c>
      <c r="D15" s="55"/>
      <c r="E15" s="100"/>
      <c r="F15" s="101"/>
    </row>
    <row r="16" spans="1:6" x14ac:dyDescent="0.2">
      <c r="A16" s="90" t="s">
        <v>241</v>
      </c>
      <c r="B16" s="64" t="s">
        <v>870</v>
      </c>
      <c r="C16" s="145" t="s">
        <v>981</v>
      </c>
      <c r="D16" s="55"/>
      <c r="E16" s="100"/>
      <c r="F16" s="101"/>
    </row>
    <row r="17" spans="1:11" ht="33.75" x14ac:dyDescent="0.2">
      <c r="A17" s="90" t="s">
        <v>242</v>
      </c>
      <c r="B17" s="65" t="s">
        <v>871</v>
      </c>
      <c r="C17" s="145" t="s">
        <v>982</v>
      </c>
      <c r="D17" s="55"/>
      <c r="E17" s="100"/>
      <c r="F17" s="101"/>
    </row>
    <row r="18" spans="1:11" ht="33.75" x14ac:dyDescent="0.2">
      <c r="A18" s="90" t="s">
        <v>242</v>
      </c>
      <c r="B18" s="65" t="s">
        <v>872</v>
      </c>
      <c r="C18" s="145" t="s">
        <v>983</v>
      </c>
      <c r="D18" s="55"/>
      <c r="E18" s="100"/>
      <c r="F18" s="101"/>
    </row>
    <row r="19" spans="1:11" ht="22.5" x14ac:dyDescent="0.2">
      <c r="A19" s="88"/>
      <c r="B19" s="65" t="s">
        <v>873</v>
      </c>
      <c r="C19" s="145" t="s">
        <v>984</v>
      </c>
      <c r="D19" s="55"/>
      <c r="E19" s="102">
        <f>+E20-E21-E22+E23</f>
        <v>366430</v>
      </c>
      <c r="F19" s="103">
        <f>SUM(F20-F21-F22+F23)</f>
        <v>419958</v>
      </c>
    </row>
    <row r="20" spans="1:11" x14ac:dyDescent="0.2">
      <c r="A20" s="90" t="s">
        <v>23</v>
      </c>
      <c r="B20" s="64" t="s">
        <v>874</v>
      </c>
      <c r="C20" s="145" t="s">
        <v>985</v>
      </c>
      <c r="D20" s="55"/>
      <c r="E20" s="102">
        <f>117017+1932364+223109</f>
        <v>2272490</v>
      </c>
      <c r="F20" s="103">
        <f>112276+2285346+233630</f>
        <v>2631252</v>
      </c>
    </row>
    <row r="21" spans="1:11" ht="22.5" x14ac:dyDescent="0.2">
      <c r="A21" s="90" t="s">
        <v>241</v>
      </c>
      <c r="B21" s="65" t="s">
        <v>875</v>
      </c>
      <c r="C21" s="145" t="s">
        <v>986</v>
      </c>
      <c r="D21" s="55"/>
      <c r="E21" s="102">
        <f>101554+1673867</f>
        <v>1775421</v>
      </c>
      <c r="F21" s="103">
        <f>99099+2247730</f>
        <v>2346829</v>
      </c>
    </row>
    <row r="22" spans="1:11" ht="33.75" x14ac:dyDescent="0.2">
      <c r="A22" s="90" t="s">
        <v>242</v>
      </c>
      <c r="B22" s="65" t="s">
        <v>876</v>
      </c>
      <c r="C22" s="145" t="s">
        <v>987</v>
      </c>
      <c r="D22" s="55"/>
      <c r="E22" s="102">
        <f>130651-12</f>
        <v>130639</v>
      </c>
      <c r="F22" s="101"/>
    </row>
    <row r="23" spans="1:11" ht="33.75" x14ac:dyDescent="0.2">
      <c r="A23" s="90" t="s">
        <v>242</v>
      </c>
      <c r="B23" s="65" t="s">
        <v>877</v>
      </c>
      <c r="C23" s="145" t="s">
        <v>988</v>
      </c>
      <c r="D23" s="55"/>
      <c r="E23" s="100"/>
      <c r="F23" s="103">
        <f>135555-20</f>
        <v>135535</v>
      </c>
    </row>
    <row r="24" spans="1:11" ht="22.5" x14ac:dyDescent="0.2">
      <c r="A24" s="90" t="s">
        <v>243</v>
      </c>
      <c r="B24" s="65" t="s">
        <v>878</v>
      </c>
      <c r="C24" s="145" t="s">
        <v>989</v>
      </c>
      <c r="D24" s="55"/>
      <c r="E24" s="100"/>
      <c r="F24" s="101"/>
    </row>
    <row r="25" spans="1:11" ht="22.5" x14ac:dyDescent="0.2">
      <c r="A25" s="90" t="s">
        <v>244</v>
      </c>
      <c r="B25" s="64" t="s">
        <v>879</v>
      </c>
      <c r="C25" s="145" t="s">
        <v>990</v>
      </c>
      <c r="D25" s="55"/>
      <c r="E25" s="100"/>
      <c r="F25" s="101"/>
    </row>
    <row r="26" spans="1:11" ht="33.75" x14ac:dyDescent="0.2">
      <c r="A26" s="88"/>
      <c r="B26" s="65" t="s">
        <v>4</v>
      </c>
      <c r="C26" s="145" t="s">
        <v>991</v>
      </c>
      <c r="D26" s="55"/>
      <c r="E26" s="102">
        <f>SUM(E27+E36+E44-E45-E54+E55-E56+E57+E58)</f>
        <v>404257</v>
      </c>
      <c r="F26" s="103">
        <f>SUM(F27+F36+F44-F45-F54+F55-F56+F57+F58)</f>
        <v>320317</v>
      </c>
      <c r="K26" s="162"/>
    </row>
    <row r="27" spans="1:11" ht="33.75" x14ac:dyDescent="0.2">
      <c r="A27" s="88"/>
      <c r="B27" s="65" t="s">
        <v>880</v>
      </c>
      <c r="C27" s="145" t="s">
        <v>992</v>
      </c>
      <c r="D27" s="55"/>
      <c r="E27" s="102">
        <f>SUM(E28+E29+E30+E31+E32+E33+E34+E35)</f>
        <v>22025</v>
      </c>
      <c r="F27" s="103">
        <f>SUM(F28+F29+F30+F31+F32+F33+F34+F35)</f>
        <v>14776</v>
      </c>
    </row>
    <row r="28" spans="1:11" ht="22.5" x14ac:dyDescent="0.2">
      <c r="A28" s="88" t="s">
        <v>245</v>
      </c>
      <c r="B28" s="65" t="s">
        <v>881</v>
      </c>
      <c r="C28" s="145" t="s">
        <v>993</v>
      </c>
      <c r="D28" s="55"/>
      <c r="E28" s="114">
        <v>782</v>
      </c>
      <c r="F28" s="103">
        <v>1294</v>
      </c>
    </row>
    <row r="29" spans="1:11" x14ac:dyDescent="0.2">
      <c r="A29" s="88" t="s">
        <v>246</v>
      </c>
      <c r="B29" s="64" t="s">
        <v>882</v>
      </c>
      <c r="C29" s="145" t="s">
        <v>994</v>
      </c>
      <c r="D29" s="55"/>
      <c r="E29" s="115"/>
      <c r="F29" s="116"/>
    </row>
    <row r="30" spans="1:11" x14ac:dyDescent="0.2">
      <c r="A30" s="88" t="s">
        <v>247</v>
      </c>
      <c r="B30" s="64" t="s">
        <v>883</v>
      </c>
      <c r="C30" s="145" t="s">
        <v>995</v>
      </c>
      <c r="D30" s="55"/>
      <c r="E30" s="115"/>
      <c r="F30" s="116"/>
    </row>
    <row r="31" spans="1:11" x14ac:dyDescent="0.2">
      <c r="A31" s="88" t="s">
        <v>248</v>
      </c>
      <c r="B31" s="64" t="s">
        <v>884</v>
      </c>
      <c r="C31" s="145" t="s">
        <v>996</v>
      </c>
      <c r="D31" s="55"/>
      <c r="E31" s="115"/>
      <c r="F31" s="116"/>
    </row>
    <row r="32" spans="1:11" x14ac:dyDescent="0.2">
      <c r="A32" s="88" t="s">
        <v>249</v>
      </c>
      <c r="B32" s="64" t="s">
        <v>885</v>
      </c>
      <c r="C32" s="145" t="s">
        <v>997</v>
      </c>
      <c r="D32" s="55"/>
      <c r="E32" s="115"/>
      <c r="F32" s="116"/>
    </row>
    <row r="33" spans="1:7" x14ac:dyDescent="0.2">
      <c r="A33" s="88" t="s">
        <v>250</v>
      </c>
      <c r="B33" s="64" t="s">
        <v>886</v>
      </c>
      <c r="C33" s="145" t="s">
        <v>998</v>
      </c>
      <c r="D33" s="55"/>
      <c r="E33" s="102">
        <v>21243</v>
      </c>
      <c r="F33" s="103">
        <v>13482</v>
      </c>
    </row>
    <row r="34" spans="1:7" ht="56.25" x14ac:dyDescent="0.2">
      <c r="A34" s="88" t="s">
        <v>251</v>
      </c>
      <c r="B34" s="65" t="s">
        <v>887</v>
      </c>
      <c r="C34" s="145" t="s">
        <v>999</v>
      </c>
      <c r="D34" s="55"/>
      <c r="E34" s="115"/>
      <c r="F34" s="116"/>
    </row>
    <row r="35" spans="1:7" ht="22.5" x14ac:dyDescent="0.2">
      <c r="A35" s="88" t="s">
        <v>252</v>
      </c>
      <c r="B35" s="65" t="s">
        <v>888</v>
      </c>
      <c r="C35" s="145" t="s">
        <v>1000</v>
      </c>
      <c r="D35" s="55"/>
      <c r="E35" s="115"/>
      <c r="F35" s="116"/>
    </row>
    <row r="36" spans="1:7" ht="33.75" x14ac:dyDescent="0.2">
      <c r="A36" s="88"/>
      <c r="B36" s="65" t="s">
        <v>889</v>
      </c>
      <c r="C36" s="145" t="s">
        <v>1001</v>
      </c>
      <c r="D36" s="55"/>
      <c r="E36" s="102">
        <f>SUM(E37+E38+E39+E40+E41-E42-E43)</f>
        <v>335756</v>
      </c>
      <c r="F36" s="103">
        <f>SUM(F37+F38+F39+F40+F41-F42-F43)</f>
        <v>529607</v>
      </c>
    </row>
    <row r="37" spans="1:7" ht="22.5" x14ac:dyDescent="0.2">
      <c r="A37" s="88" t="s">
        <v>253</v>
      </c>
      <c r="B37" s="65" t="s">
        <v>890</v>
      </c>
      <c r="C37" s="145" t="s">
        <v>1002</v>
      </c>
      <c r="D37" s="55"/>
      <c r="E37" s="115"/>
      <c r="F37" s="116"/>
    </row>
    <row r="38" spans="1:7" x14ac:dyDescent="0.2">
      <c r="A38" s="88" t="s">
        <v>254</v>
      </c>
      <c r="B38" s="64" t="s">
        <v>891</v>
      </c>
      <c r="C38" s="145" t="s">
        <v>1003</v>
      </c>
      <c r="D38" s="55"/>
      <c r="E38" s="115"/>
      <c r="F38" s="116"/>
    </row>
    <row r="39" spans="1:7" ht="22.5" x14ac:dyDescent="0.2">
      <c r="A39" s="90" t="s">
        <v>255</v>
      </c>
      <c r="B39" s="65" t="s">
        <v>892</v>
      </c>
      <c r="C39" s="145" t="s">
        <v>1004</v>
      </c>
      <c r="D39" s="55"/>
      <c r="E39" s="115"/>
      <c r="F39" s="116"/>
    </row>
    <row r="40" spans="1:7" ht="22.5" x14ac:dyDescent="0.2">
      <c r="A40" s="90" t="s">
        <v>255</v>
      </c>
      <c r="B40" s="65" t="s">
        <v>893</v>
      </c>
      <c r="C40" s="145" t="s">
        <v>1005</v>
      </c>
      <c r="D40" s="55"/>
      <c r="E40" s="102">
        <v>770823</v>
      </c>
      <c r="F40" s="103">
        <v>923478</v>
      </c>
    </row>
    <row r="41" spans="1:7" ht="33.75" x14ac:dyDescent="0.2">
      <c r="A41" s="90" t="s">
        <v>256</v>
      </c>
      <c r="B41" s="65" t="s">
        <v>894</v>
      </c>
      <c r="C41" s="145" t="s">
        <v>1006</v>
      </c>
      <c r="D41" s="55"/>
      <c r="E41" s="102">
        <v>18275</v>
      </c>
      <c r="F41" s="103">
        <v>5880</v>
      </c>
    </row>
    <row r="42" spans="1:7" ht="22.5" x14ac:dyDescent="0.2">
      <c r="A42" s="90" t="s">
        <v>257</v>
      </c>
      <c r="B42" s="65" t="s">
        <v>895</v>
      </c>
      <c r="C42" s="145" t="s">
        <v>1007</v>
      </c>
      <c r="D42" s="55"/>
      <c r="E42" s="115"/>
      <c r="F42" s="116"/>
    </row>
    <row r="43" spans="1:7" ht="22.5" x14ac:dyDescent="0.2">
      <c r="A43" s="90" t="s">
        <v>258</v>
      </c>
      <c r="B43" s="65" t="s">
        <v>896</v>
      </c>
      <c r="C43" s="145" t="s">
        <v>1008</v>
      </c>
      <c r="D43" s="55"/>
      <c r="E43" s="102">
        <v>453342</v>
      </c>
      <c r="F43" s="103">
        <v>399751</v>
      </c>
    </row>
    <row r="44" spans="1:7" ht="33.75" x14ac:dyDescent="0.2">
      <c r="A44" s="183"/>
      <c r="B44" s="163" t="s">
        <v>897</v>
      </c>
      <c r="C44" s="171" t="s">
        <v>1009</v>
      </c>
      <c r="D44" s="164"/>
      <c r="E44" s="173">
        <f>IF((E46-E47+E48-E49+E50-E51+E52-E53)&gt;0,(E46-E47+E48-E49+E50-E51+E52-E53),0)</f>
        <v>56202</v>
      </c>
      <c r="F44" s="184">
        <f>IF((F46-F47+F48-F49+F50-F51+F52-F53)&gt;0,(F46-F47+F48-F49+F50-F51+F52-F53),0)</f>
        <v>0</v>
      </c>
      <c r="G44" s="165"/>
    </row>
    <row r="45" spans="1:7" ht="33.75" x14ac:dyDescent="0.2">
      <c r="A45" s="183"/>
      <c r="B45" s="163" t="s">
        <v>898</v>
      </c>
      <c r="C45" s="171" t="s">
        <v>1010</v>
      </c>
      <c r="D45" s="164"/>
      <c r="E45" s="173">
        <f>IF((E46-E47+E48-E49+E50-E51+E52-E53)&lt;0,-(E46-E47+E48-E49+E50-E51+E52-E53),0)</f>
        <v>0</v>
      </c>
      <c r="F45" s="185">
        <f>IF((F46-F47+F48-F49+F50-F51+F52-F53)&lt;0,-(F46-F47+F48-F49+F50-F51+F52-F53),0)</f>
        <v>205191</v>
      </c>
      <c r="G45" s="165"/>
    </row>
    <row r="46" spans="1:7" ht="22.5" x14ac:dyDescent="0.2">
      <c r="A46" s="88" t="s">
        <v>259</v>
      </c>
      <c r="B46" s="65" t="s">
        <v>899</v>
      </c>
      <c r="C46" s="145" t="s">
        <v>1011</v>
      </c>
      <c r="D46" s="55"/>
      <c r="E46" s="115"/>
      <c r="F46" s="116"/>
    </row>
    <row r="47" spans="1:7" ht="22.5" x14ac:dyDescent="0.2">
      <c r="A47" s="88" t="s">
        <v>260</v>
      </c>
      <c r="B47" s="65" t="s">
        <v>900</v>
      </c>
      <c r="C47" s="145" t="s">
        <v>1012</v>
      </c>
      <c r="D47" s="55"/>
      <c r="E47" s="115"/>
      <c r="F47" s="116"/>
    </row>
    <row r="48" spans="1:7" ht="22.5" x14ac:dyDescent="0.2">
      <c r="A48" s="88" t="s">
        <v>261</v>
      </c>
      <c r="B48" s="65" t="s">
        <v>901</v>
      </c>
      <c r="C48" s="145" t="s">
        <v>1013</v>
      </c>
      <c r="D48" s="55"/>
      <c r="E48" s="115"/>
      <c r="F48" s="116"/>
    </row>
    <row r="49" spans="1:7" ht="22.5" x14ac:dyDescent="0.2">
      <c r="A49" s="88" t="s">
        <v>262</v>
      </c>
      <c r="B49" s="65" t="s">
        <v>902</v>
      </c>
      <c r="C49" s="145" t="s">
        <v>1014</v>
      </c>
      <c r="D49" s="55"/>
      <c r="E49" s="115"/>
      <c r="F49" s="116"/>
    </row>
    <row r="50" spans="1:7" ht="22.5" x14ac:dyDescent="0.2">
      <c r="A50" s="88" t="s">
        <v>263</v>
      </c>
      <c r="B50" s="65" t="s">
        <v>903</v>
      </c>
      <c r="C50" s="145" t="s">
        <v>1015</v>
      </c>
      <c r="D50" s="55"/>
      <c r="E50" s="102">
        <f>11334+563688</f>
        <v>575022</v>
      </c>
      <c r="F50" s="103">
        <f>8931+191130</f>
        <v>200061</v>
      </c>
    </row>
    <row r="51" spans="1:7" ht="22.5" x14ac:dyDescent="0.2">
      <c r="A51" s="90" t="s">
        <v>264</v>
      </c>
      <c r="B51" s="65" t="s">
        <v>904</v>
      </c>
      <c r="C51" s="145" t="s">
        <v>1016</v>
      </c>
      <c r="D51" s="55"/>
      <c r="E51" s="102">
        <f>10574+508246</f>
        <v>518820</v>
      </c>
      <c r="F51" s="103">
        <f>10428+394824</f>
        <v>405252</v>
      </c>
    </row>
    <row r="52" spans="1:7" ht="33.75" x14ac:dyDescent="0.2">
      <c r="A52" s="88" t="s">
        <v>265</v>
      </c>
      <c r="B52" s="65" t="s">
        <v>905</v>
      </c>
      <c r="C52" s="145" t="s">
        <v>1017</v>
      </c>
      <c r="D52" s="55"/>
      <c r="E52" s="115"/>
      <c r="F52" s="116"/>
    </row>
    <row r="53" spans="1:7" ht="33.75" x14ac:dyDescent="0.2">
      <c r="A53" s="88" t="s">
        <v>266</v>
      </c>
      <c r="B53" s="65" t="s">
        <v>906</v>
      </c>
      <c r="C53" s="145" t="s">
        <v>1018</v>
      </c>
      <c r="D53" s="55"/>
      <c r="E53" s="115"/>
      <c r="F53" s="116"/>
    </row>
    <row r="54" spans="1:7" ht="22.5" x14ac:dyDescent="0.2">
      <c r="A54" s="90" t="s">
        <v>267</v>
      </c>
      <c r="B54" s="65" t="s">
        <v>907</v>
      </c>
      <c r="C54" s="145" t="s">
        <v>1019</v>
      </c>
      <c r="D54" s="55"/>
      <c r="E54" s="102">
        <v>9726</v>
      </c>
      <c r="F54" s="103">
        <v>18875</v>
      </c>
    </row>
    <row r="55" spans="1:7" x14ac:dyDescent="0.2">
      <c r="A55" s="88" t="s">
        <v>268</v>
      </c>
      <c r="B55" s="64" t="s">
        <v>908</v>
      </c>
      <c r="C55" s="145" t="s">
        <v>1020</v>
      </c>
      <c r="D55" s="55"/>
      <c r="E55" s="115"/>
      <c r="F55" s="116"/>
    </row>
    <row r="56" spans="1:7" ht="22.5" x14ac:dyDescent="0.2">
      <c r="A56" s="90" t="s">
        <v>269</v>
      </c>
      <c r="B56" s="64" t="s">
        <v>909</v>
      </c>
      <c r="C56" s="145" t="s">
        <v>1021</v>
      </c>
      <c r="D56" s="55"/>
      <c r="E56" s="115"/>
      <c r="F56" s="116"/>
    </row>
    <row r="57" spans="1:7" x14ac:dyDescent="0.2">
      <c r="A57" s="88" t="s">
        <v>270</v>
      </c>
      <c r="B57" s="64" t="s">
        <v>910</v>
      </c>
      <c r="C57" s="145" t="s">
        <v>1022</v>
      </c>
      <c r="D57" s="55"/>
      <c r="E57" s="115"/>
      <c r="F57" s="116"/>
    </row>
    <row r="58" spans="1:7" x14ac:dyDescent="0.2">
      <c r="A58" s="90" t="s">
        <v>271</v>
      </c>
      <c r="B58" s="64" t="s">
        <v>911</v>
      </c>
      <c r="C58" s="145" t="s">
        <v>1023</v>
      </c>
      <c r="D58" s="55"/>
      <c r="E58" s="115"/>
      <c r="F58" s="116"/>
    </row>
    <row r="59" spans="1:7" ht="22.5" x14ac:dyDescent="0.2">
      <c r="A59" s="183"/>
      <c r="B59" s="163" t="s">
        <v>912</v>
      </c>
      <c r="C59" s="171" t="s">
        <v>1024</v>
      </c>
      <c r="D59" s="164"/>
      <c r="E59" s="175">
        <f>IF((E11-E26)&gt;0,E11-E26,0)</f>
        <v>0</v>
      </c>
      <c r="F59" s="186">
        <f>IF((F11-F26)&gt;0,F11-F26,0)</f>
        <v>99641</v>
      </c>
      <c r="G59" s="165"/>
    </row>
    <row r="60" spans="1:7" ht="22.5" x14ac:dyDescent="0.2">
      <c r="A60" s="183"/>
      <c r="B60" s="163" t="s">
        <v>913</v>
      </c>
      <c r="C60" s="171" t="s">
        <v>1025</v>
      </c>
      <c r="D60" s="164"/>
      <c r="E60" s="175">
        <f>IF((E26-E11)&gt;0,E26-E11,0)</f>
        <v>37827</v>
      </c>
      <c r="F60" s="186">
        <f>IF((F26-F11)&gt;0,F26-F11,0)</f>
        <v>0</v>
      </c>
      <c r="G60" s="165"/>
    </row>
    <row r="61" spans="1:7" ht="22.5" x14ac:dyDescent="0.2">
      <c r="A61" s="88"/>
      <c r="B61" s="70" t="s">
        <v>914</v>
      </c>
      <c r="C61" s="145"/>
      <c r="D61" s="55"/>
      <c r="E61" s="115"/>
      <c r="F61" s="116"/>
    </row>
    <row r="62" spans="1:7" ht="33.75" x14ac:dyDescent="0.2">
      <c r="A62" s="88"/>
      <c r="B62" s="65" t="s">
        <v>915</v>
      </c>
      <c r="C62" s="145" t="s">
        <v>1026</v>
      </c>
      <c r="D62" s="55"/>
      <c r="E62" s="102">
        <f>SUM(E63+E64+E69+E70+E71+E72+E73)</f>
        <v>155702</v>
      </c>
      <c r="F62" s="103">
        <f>SUM(F63+F64+F69+F70+F71+F72+F73)</f>
        <v>137063</v>
      </c>
    </row>
    <row r="63" spans="1:7" ht="22.5" x14ac:dyDescent="0.2">
      <c r="A63" s="90" t="s">
        <v>272</v>
      </c>
      <c r="B63" s="65" t="s">
        <v>916</v>
      </c>
      <c r="C63" s="145" t="s">
        <v>1027</v>
      </c>
      <c r="D63" s="55"/>
      <c r="E63" s="115"/>
      <c r="F63" s="116"/>
    </row>
    <row r="64" spans="1:7" ht="22.5" x14ac:dyDescent="0.2">
      <c r="A64" s="88"/>
      <c r="B64" s="65" t="s">
        <v>917</v>
      </c>
      <c r="C64" s="145" t="s">
        <v>1028</v>
      </c>
      <c r="D64" s="55"/>
      <c r="E64" s="114">
        <f>SUM(E66+E67+E68)</f>
        <v>0</v>
      </c>
      <c r="F64" s="123">
        <f>SUM(F66+F67+F68)</f>
        <v>0</v>
      </c>
    </row>
    <row r="65" spans="1:6" x14ac:dyDescent="0.2">
      <c r="A65" s="187"/>
      <c r="B65" s="76"/>
      <c r="C65" s="148"/>
      <c r="D65" s="85"/>
      <c r="E65" s="188"/>
      <c r="F65" s="189"/>
    </row>
    <row r="66" spans="1:6" ht="22.5" x14ac:dyDescent="0.2">
      <c r="A66" s="90" t="s">
        <v>273</v>
      </c>
      <c r="B66" s="65" t="s">
        <v>918</v>
      </c>
      <c r="C66" s="145" t="s">
        <v>1029</v>
      </c>
      <c r="D66" s="55"/>
      <c r="E66" s="100"/>
      <c r="F66" s="116"/>
    </row>
    <row r="67" spans="1:6" ht="22.5" x14ac:dyDescent="0.2">
      <c r="A67" s="88" t="s">
        <v>274</v>
      </c>
      <c r="B67" s="65" t="s">
        <v>919</v>
      </c>
      <c r="C67" s="145" t="s">
        <v>1030</v>
      </c>
      <c r="D67" s="55"/>
      <c r="E67" s="100"/>
      <c r="F67" s="116"/>
    </row>
    <row r="68" spans="1:6" ht="22.5" x14ac:dyDescent="0.2">
      <c r="A68" s="88" t="s">
        <v>275</v>
      </c>
      <c r="B68" s="65" t="s">
        <v>920</v>
      </c>
      <c r="C68" s="145" t="s">
        <v>1031</v>
      </c>
      <c r="D68" s="55"/>
      <c r="E68" s="100"/>
      <c r="F68" s="116"/>
    </row>
    <row r="69" spans="1:6" x14ac:dyDescent="0.2">
      <c r="A69" s="88" t="s">
        <v>276</v>
      </c>
      <c r="B69" s="65" t="s">
        <v>921</v>
      </c>
      <c r="C69" s="145" t="s">
        <v>1032</v>
      </c>
      <c r="D69" s="55"/>
      <c r="E69" s="102">
        <v>49996</v>
      </c>
      <c r="F69" s="103">
        <v>88931</v>
      </c>
    </row>
    <row r="70" spans="1:6" ht="33.75" x14ac:dyDescent="0.2">
      <c r="A70" s="90" t="s">
        <v>277</v>
      </c>
      <c r="B70" s="65" t="s">
        <v>922</v>
      </c>
      <c r="C70" s="145" t="s">
        <v>1033</v>
      </c>
      <c r="D70" s="55"/>
      <c r="E70" s="102">
        <f>1393+97</f>
        <v>1490</v>
      </c>
      <c r="F70" s="123">
        <f>206+84</f>
        <v>290</v>
      </c>
    </row>
    <row r="71" spans="1:6" x14ac:dyDescent="0.2">
      <c r="A71" s="88" t="s">
        <v>278</v>
      </c>
      <c r="B71" s="65" t="s">
        <v>923</v>
      </c>
      <c r="C71" s="145" t="s">
        <v>1034</v>
      </c>
      <c r="D71" s="55"/>
      <c r="E71" s="100"/>
      <c r="F71" s="116"/>
    </row>
    <row r="72" spans="1:6" ht="22.5" x14ac:dyDescent="0.2">
      <c r="A72" s="88" t="s">
        <v>279</v>
      </c>
      <c r="B72" s="65" t="s">
        <v>924</v>
      </c>
      <c r="C72" s="145" t="s">
        <v>1035</v>
      </c>
      <c r="D72" s="55"/>
      <c r="E72" s="102">
        <f>30189+194+73750+83</f>
        <v>104216</v>
      </c>
      <c r="F72" s="103">
        <f>14108+205+30946+441</f>
        <v>45700</v>
      </c>
    </row>
    <row r="73" spans="1:6" ht="33.75" x14ac:dyDescent="0.2">
      <c r="A73" s="90" t="s">
        <v>280</v>
      </c>
      <c r="B73" s="65" t="s">
        <v>925</v>
      </c>
      <c r="C73" s="145" t="s">
        <v>1036</v>
      </c>
      <c r="D73" s="55"/>
      <c r="E73" s="102"/>
      <c r="F73" s="103">
        <v>2142</v>
      </c>
    </row>
    <row r="74" spans="1:6" ht="33.75" x14ac:dyDescent="0.2">
      <c r="A74" s="88"/>
      <c r="B74" s="65" t="s">
        <v>926</v>
      </c>
      <c r="C74" s="145" t="s">
        <v>1037</v>
      </c>
      <c r="D74" s="55"/>
      <c r="E74" s="102">
        <f>SUM(E75+E76+E79+E80+E81+E82)</f>
        <v>179647</v>
      </c>
      <c r="F74" s="103">
        <f>SUM(F75+F76+F79+F80+F81+F82)</f>
        <v>139594</v>
      </c>
    </row>
    <row r="75" spans="1:6" ht="33.75" x14ac:dyDescent="0.2">
      <c r="A75" s="90" t="s">
        <v>281</v>
      </c>
      <c r="B75" s="65" t="s">
        <v>927</v>
      </c>
      <c r="C75" s="145" t="s">
        <v>1038</v>
      </c>
      <c r="D75" s="55"/>
      <c r="E75" s="176"/>
      <c r="F75" s="190"/>
    </row>
    <row r="76" spans="1:6" ht="22.5" x14ac:dyDescent="0.2">
      <c r="A76" s="88"/>
      <c r="B76" s="65" t="s">
        <v>5</v>
      </c>
      <c r="C76" s="145" t="s">
        <v>1039</v>
      </c>
      <c r="D76" s="55"/>
      <c r="E76" s="174">
        <f>SUM(E77+E78)</f>
        <v>0</v>
      </c>
      <c r="F76" s="184">
        <f>SUM(F77+F78)</f>
        <v>0</v>
      </c>
    </row>
    <row r="77" spans="1:6" ht="22.5" x14ac:dyDescent="0.2">
      <c r="A77" s="88" t="s">
        <v>282</v>
      </c>
      <c r="B77" s="65" t="s">
        <v>928</v>
      </c>
      <c r="C77" s="145" t="s">
        <v>1040</v>
      </c>
      <c r="D77" s="55"/>
      <c r="E77" s="176"/>
      <c r="F77" s="190"/>
    </row>
    <row r="78" spans="1:6" ht="22.5" x14ac:dyDescent="0.2">
      <c r="A78" s="88" t="s">
        <v>283</v>
      </c>
      <c r="B78" s="65" t="s">
        <v>929</v>
      </c>
      <c r="C78" s="145" t="s">
        <v>1041</v>
      </c>
      <c r="D78" s="55"/>
      <c r="E78" s="176"/>
      <c r="F78" s="190"/>
    </row>
    <row r="79" spans="1:6" ht="45" x14ac:dyDescent="0.2">
      <c r="A79" s="90" t="s">
        <v>284</v>
      </c>
      <c r="B79" s="166" t="s">
        <v>930</v>
      </c>
      <c r="C79" s="145" t="s">
        <v>1042</v>
      </c>
      <c r="D79" s="55"/>
      <c r="E79" s="173">
        <v>172074</v>
      </c>
      <c r="F79" s="185">
        <v>117291</v>
      </c>
    </row>
    <row r="80" spans="1:6" x14ac:dyDescent="0.2">
      <c r="A80" s="88" t="s">
        <v>285</v>
      </c>
      <c r="B80" s="65" t="s">
        <v>931</v>
      </c>
      <c r="C80" s="145" t="s">
        <v>1043</v>
      </c>
      <c r="D80" s="55"/>
      <c r="E80" s="176"/>
      <c r="F80" s="190"/>
    </row>
    <row r="81" spans="1:9" ht="22.5" x14ac:dyDescent="0.2">
      <c r="A81" s="88" t="s">
        <v>286</v>
      </c>
      <c r="B81" s="65" t="s">
        <v>932</v>
      </c>
      <c r="C81" s="145" t="s">
        <v>1044</v>
      </c>
      <c r="D81" s="55"/>
      <c r="E81" s="173">
        <f>4525+158+507</f>
        <v>5190</v>
      </c>
      <c r="F81" s="185">
        <v>19540</v>
      </c>
      <c r="I81" s="162"/>
    </row>
    <row r="82" spans="1:9" ht="33.75" x14ac:dyDescent="0.2">
      <c r="A82" s="90" t="s">
        <v>287</v>
      </c>
      <c r="B82" s="65" t="s">
        <v>933</v>
      </c>
      <c r="C82" s="145" t="s">
        <v>1045</v>
      </c>
      <c r="D82" s="55"/>
      <c r="E82" s="173">
        <f>2383</f>
        <v>2383</v>
      </c>
      <c r="F82" s="185">
        <v>2763</v>
      </c>
      <c r="I82" s="162"/>
    </row>
    <row r="83" spans="1:9" ht="22.5" x14ac:dyDescent="0.2">
      <c r="A83" s="88"/>
      <c r="B83" s="65" t="s">
        <v>934</v>
      </c>
      <c r="C83" s="145" t="s">
        <v>1046</v>
      </c>
      <c r="D83" s="55"/>
      <c r="E83" s="173"/>
      <c r="F83" s="185"/>
    </row>
    <row r="84" spans="1:9" ht="22.5" x14ac:dyDescent="0.2">
      <c r="A84" s="88"/>
      <c r="B84" s="65" t="s">
        <v>935</v>
      </c>
      <c r="C84" s="145" t="s">
        <v>1047</v>
      </c>
      <c r="D84" s="55"/>
      <c r="E84" s="102">
        <f>SUM(E74-E62)</f>
        <v>23945</v>
      </c>
      <c r="F84" s="103">
        <f>SUM(F74-F62)</f>
        <v>2531</v>
      </c>
    </row>
    <row r="85" spans="1:9" ht="22.5" x14ac:dyDescent="0.2">
      <c r="A85" s="88"/>
      <c r="B85" s="65" t="s">
        <v>936</v>
      </c>
      <c r="C85" s="145" t="s">
        <v>1048</v>
      </c>
      <c r="D85" s="55"/>
      <c r="E85" s="102">
        <f>SUM(E86+E91+E96-E97)</f>
        <v>127784</v>
      </c>
      <c r="F85" s="103">
        <f>SUM(F86+F91+F96-F97)</f>
        <v>187002</v>
      </c>
    </row>
    <row r="86" spans="1:9" ht="22.5" x14ac:dyDescent="0.2">
      <c r="A86" s="88"/>
      <c r="B86" s="65" t="s">
        <v>937</v>
      </c>
      <c r="C86" s="145" t="s">
        <v>1049</v>
      </c>
      <c r="D86" s="55"/>
      <c r="E86" s="102">
        <f>SUM(E87+E88-E89+E90)</f>
        <v>317047</v>
      </c>
      <c r="F86" s="103">
        <f>SUM(F87+F88-F89+F90)</f>
        <v>451197</v>
      </c>
    </row>
    <row r="87" spans="1:9" x14ac:dyDescent="0.2">
      <c r="A87" s="88" t="s">
        <v>288</v>
      </c>
      <c r="B87" s="64" t="s">
        <v>938</v>
      </c>
      <c r="C87" s="145" t="s">
        <v>1050</v>
      </c>
      <c r="D87" s="55"/>
      <c r="E87" s="126">
        <v>264035</v>
      </c>
      <c r="F87" s="103">
        <v>397730</v>
      </c>
    </row>
    <row r="88" spans="1:9" ht="22.5" x14ac:dyDescent="0.2">
      <c r="A88" s="90" t="s">
        <v>256</v>
      </c>
      <c r="B88" s="64" t="s">
        <v>939</v>
      </c>
      <c r="C88" s="145" t="s">
        <v>1051</v>
      </c>
      <c r="D88" s="55"/>
      <c r="E88" s="126">
        <v>53012</v>
      </c>
      <c r="F88" s="103">
        <v>53467</v>
      </c>
    </row>
    <row r="89" spans="1:9" ht="22.5" x14ac:dyDescent="0.2">
      <c r="A89" s="88" t="s">
        <v>289</v>
      </c>
      <c r="B89" s="65" t="s">
        <v>940</v>
      </c>
      <c r="C89" s="145" t="s">
        <v>1052</v>
      </c>
      <c r="D89" s="55"/>
      <c r="E89" s="115"/>
      <c r="F89" s="101"/>
    </row>
    <row r="90" spans="1:9" ht="22.5" x14ac:dyDescent="0.2">
      <c r="A90" s="88" t="s">
        <v>289</v>
      </c>
      <c r="B90" s="65" t="s">
        <v>941</v>
      </c>
      <c r="C90" s="145" t="s">
        <v>1053</v>
      </c>
      <c r="D90" s="55"/>
      <c r="E90" s="115"/>
      <c r="F90" s="101"/>
    </row>
    <row r="91" spans="1:9" ht="22.5" x14ac:dyDescent="0.2">
      <c r="A91" s="88"/>
      <c r="B91" s="65" t="s">
        <v>942</v>
      </c>
      <c r="C91" s="145" t="s">
        <v>1054</v>
      </c>
      <c r="D91" s="55"/>
      <c r="E91" s="102">
        <f>SUM(E92+E93+E94+E95)</f>
        <v>83894</v>
      </c>
      <c r="F91" s="103">
        <f>SUM(F92+F93+F94+F95)</f>
        <v>97423</v>
      </c>
    </row>
    <row r="92" spans="1:9" x14ac:dyDescent="0.2">
      <c r="A92" s="88" t="s">
        <v>290</v>
      </c>
      <c r="B92" s="64" t="s">
        <v>943</v>
      </c>
      <c r="C92" s="145" t="s">
        <v>1055</v>
      </c>
      <c r="D92" s="55"/>
      <c r="E92" s="102">
        <v>10625</v>
      </c>
      <c r="F92" s="103">
        <v>10304</v>
      </c>
    </row>
    <row r="93" spans="1:9" ht="22.5" x14ac:dyDescent="0.2">
      <c r="A93" s="88" t="s">
        <v>291</v>
      </c>
      <c r="B93" s="65" t="s">
        <v>944</v>
      </c>
      <c r="C93" s="145" t="s">
        <v>1056</v>
      </c>
      <c r="D93" s="55"/>
      <c r="E93" s="102">
        <v>8011</v>
      </c>
      <c r="F93" s="103">
        <v>11893</v>
      </c>
    </row>
    <row r="94" spans="1:9" ht="22.5" x14ac:dyDescent="0.2">
      <c r="A94" s="88" t="s">
        <v>292</v>
      </c>
      <c r="B94" s="65" t="s">
        <v>945</v>
      </c>
      <c r="C94" s="145" t="s">
        <v>1057</v>
      </c>
      <c r="D94" s="55"/>
      <c r="E94" s="102">
        <v>48596</v>
      </c>
      <c r="F94" s="103">
        <v>58316</v>
      </c>
    </row>
    <row r="95" spans="1:9" ht="22.5" x14ac:dyDescent="0.2">
      <c r="A95" s="90" t="s">
        <v>256</v>
      </c>
      <c r="B95" s="64" t="s">
        <v>946</v>
      </c>
      <c r="C95" s="145" t="s">
        <v>1058</v>
      </c>
      <c r="D95" s="55"/>
      <c r="E95" s="102">
        <v>16662</v>
      </c>
      <c r="F95" s="103">
        <v>16910</v>
      </c>
    </row>
    <row r="96" spans="1:9" ht="22.5" x14ac:dyDescent="0.2">
      <c r="A96" s="90" t="s">
        <v>256</v>
      </c>
      <c r="B96" s="64" t="s">
        <v>947</v>
      </c>
      <c r="C96" s="145" t="s">
        <v>1059</v>
      </c>
      <c r="D96" s="55"/>
      <c r="E96" s="102">
        <v>5236</v>
      </c>
      <c r="F96" s="103">
        <v>2697</v>
      </c>
    </row>
    <row r="97" spans="1:9" x14ac:dyDescent="0.2">
      <c r="A97" s="88" t="s">
        <v>293</v>
      </c>
      <c r="B97" s="64" t="s">
        <v>948</v>
      </c>
      <c r="C97" s="145" t="s">
        <v>1060</v>
      </c>
      <c r="D97" s="55"/>
      <c r="E97" s="102">
        <v>278393</v>
      </c>
      <c r="F97" s="103">
        <v>364315</v>
      </c>
    </row>
    <row r="98" spans="1:9" ht="33.75" x14ac:dyDescent="0.2">
      <c r="A98" s="183"/>
      <c r="B98" s="163" t="s">
        <v>949</v>
      </c>
      <c r="C98" s="171" t="s">
        <v>1061</v>
      </c>
      <c r="D98" s="164"/>
      <c r="E98" s="175">
        <f>IF((E59-E85)&gt;0,E59-E85,0)</f>
        <v>0</v>
      </c>
      <c r="F98" s="186">
        <f>IF((F59-F85)&gt;0,F59-F85,0)</f>
        <v>0</v>
      </c>
      <c r="G98" s="165"/>
    </row>
    <row r="99" spans="1:9" ht="34.5" thickBot="1" x14ac:dyDescent="0.25">
      <c r="A99" s="191"/>
      <c r="B99" s="192" t="s">
        <v>950</v>
      </c>
      <c r="C99" s="193" t="s">
        <v>1062</v>
      </c>
      <c r="D99" s="194"/>
      <c r="E99" s="195">
        <f>IF(E60&gt;0,E60+E84-E83+E85,IF((E85-E59)&gt;0,E85-E59,0))</f>
        <v>189556</v>
      </c>
      <c r="F99" s="196">
        <f>SUM(-(F59+F83-F60-F84-F85))</f>
        <v>89892</v>
      </c>
      <c r="G99" s="165"/>
    </row>
    <row r="100" spans="1:9" ht="13.5" thickBot="1" x14ac:dyDescent="0.25">
      <c r="A100" s="92"/>
      <c r="B100" s="74"/>
      <c r="C100" s="148"/>
      <c r="D100" s="167"/>
      <c r="E100" s="131"/>
      <c r="F100" s="131"/>
    </row>
    <row r="101" spans="1:9" ht="33.75" x14ac:dyDescent="0.2">
      <c r="A101" s="197" t="s">
        <v>294</v>
      </c>
      <c r="B101" s="72" t="s">
        <v>951</v>
      </c>
      <c r="C101" s="144" t="s">
        <v>1063</v>
      </c>
      <c r="D101" s="198"/>
      <c r="E101" s="199">
        <f>49996+131420+58015+84-154212</f>
        <v>85303</v>
      </c>
      <c r="F101" s="138">
        <f>88931+78930+16385+440-134631</f>
        <v>50055</v>
      </c>
    </row>
    <row r="102" spans="1:9" ht="33.75" x14ac:dyDescent="0.2">
      <c r="A102" s="88" t="s">
        <v>295</v>
      </c>
      <c r="B102" s="65" t="s">
        <v>952</v>
      </c>
      <c r="C102" s="145" t="s">
        <v>1064</v>
      </c>
      <c r="D102" s="55"/>
      <c r="E102" s="173">
        <f>305+121325+6774-5190</f>
        <v>123214</v>
      </c>
      <c r="F102" s="185">
        <f>44+64417+17007-19540</f>
        <v>61928</v>
      </c>
      <c r="I102" s="162"/>
    </row>
    <row r="103" spans="1:9" ht="45" x14ac:dyDescent="0.2">
      <c r="A103" s="88" t="s">
        <v>296</v>
      </c>
      <c r="B103" s="65" t="s">
        <v>953</v>
      </c>
      <c r="C103" s="145" t="s">
        <v>1065</v>
      </c>
      <c r="D103" s="55"/>
      <c r="E103" s="102">
        <f>2981+1393+232115+96-1490</f>
        <v>235095</v>
      </c>
      <c r="F103" s="103">
        <f>2142+176+206+276289+84-2432</f>
        <v>276465</v>
      </c>
    </row>
    <row r="104" spans="1:9" ht="33.75" x14ac:dyDescent="0.2">
      <c r="A104" s="88" t="s">
        <v>297</v>
      </c>
      <c r="B104" s="65" t="s">
        <v>954</v>
      </c>
      <c r="C104" s="145" t="s">
        <v>1066</v>
      </c>
      <c r="D104" s="55"/>
      <c r="E104" s="102">
        <f>262821-178209+6135</f>
        <v>90747</v>
      </c>
      <c r="F104" s="103">
        <f>1025+140+414647-117291</f>
        <v>298521</v>
      </c>
    </row>
    <row r="105" spans="1:9" x14ac:dyDescent="0.2">
      <c r="A105" s="88" t="s">
        <v>298</v>
      </c>
      <c r="B105" s="64" t="s">
        <v>955</v>
      </c>
      <c r="C105" s="145" t="s">
        <v>1067</v>
      </c>
      <c r="D105" s="55"/>
      <c r="E105" s="115"/>
      <c r="F105" s="116"/>
    </row>
    <row r="106" spans="1:9" x14ac:dyDescent="0.2">
      <c r="A106" s="88" t="s">
        <v>299</v>
      </c>
      <c r="B106" s="64" t="s">
        <v>956</v>
      </c>
      <c r="C106" s="145" t="s">
        <v>1068</v>
      </c>
      <c r="D106" s="55"/>
      <c r="E106" s="115"/>
      <c r="F106" s="116"/>
    </row>
    <row r="107" spans="1:9" ht="33.75" x14ac:dyDescent="0.2">
      <c r="A107" s="88"/>
      <c r="B107" s="65" t="s">
        <v>957</v>
      </c>
      <c r="C107" s="145" t="s">
        <v>1069</v>
      </c>
      <c r="D107" s="55"/>
      <c r="E107" s="102"/>
      <c r="F107" s="103"/>
    </row>
    <row r="108" spans="1:9" ht="33.75" x14ac:dyDescent="0.2">
      <c r="A108" s="88"/>
      <c r="B108" s="65" t="s">
        <v>958</v>
      </c>
      <c r="C108" s="145" t="s">
        <v>1070</v>
      </c>
      <c r="D108" s="55"/>
      <c r="E108" s="102">
        <f>SUM(-(E98+E101+E103+E105-E99-E102-E104-E106))</f>
        <v>83119</v>
      </c>
      <c r="F108" s="103">
        <f>SUM(-(F98+F101+F103+F105-F99-F102-F104-F106))</f>
        <v>123821</v>
      </c>
    </row>
    <row r="109" spans="1:9" ht="56.25" x14ac:dyDescent="0.2">
      <c r="A109" s="88" t="s">
        <v>300</v>
      </c>
      <c r="B109" s="65" t="s">
        <v>959</v>
      </c>
      <c r="C109" s="145" t="s">
        <v>1071</v>
      </c>
      <c r="D109" s="55"/>
      <c r="E109" s="102">
        <f>71415-65973</f>
        <v>5442</v>
      </c>
      <c r="F109" s="103">
        <v>1486</v>
      </c>
    </row>
    <row r="110" spans="1:9" ht="56.25" x14ac:dyDescent="0.2">
      <c r="A110" s="88" t="s">
        <v>301</v>
      </c>
      <c r="B110" s="65" t="s">
        <v>960</v>
      </c>
      <c r="C110" s="145" t="s">
        <v>1072</v>
      </c>
      <c r="D110" s="55"/>
      <c r="E110" s="115"/>
      <c r="F110" s="116"/>
    </row>
    <row r="111" spans="1:9" x14ac:dyDescent="0.2">
      <c r="A111" s="183"/>
      <c r="B111" s="168" t="s">
        <v>961</v>
      </c>
      <c r="C111" s="171" t="s">
        <v>1073</v>
      </c>
      <c r="D111" s="164"/>
      <c r="E111" s="175">
        <f>IF((E107+E109-E108-E110)&gt;0,(E107+E109-E108-E110),0)</f>
        <v>0</v>
      </c>
      <c r="F111" s="186">
        <f>IF((F107+F109-F108-F110)&gt;0,(F107+F109-F108-F110),0)</f>
        <v>0</v>
      </c>
      <c r="G111" s="165"/>
    </row>
    <row r="112" spans="1:9" x14ac:dyDescent="0.2">
      <c r="A112" s="183"/>
      <c r="B112" s="168" t="s">
        <v>962</v>
      </c>
      <c r="C112" s="171" t="s">
        <v>1074</v>
      </c>
      <c r="D112" s="164"/>
      <c r="E112" s="175">
        <f>IF((E107+E109-E108-E110)&lt;0,-(E107+E109-E108-E110),0)</f>
        <v>77677</v>
      </c>
      <c r="F112" s="186">
        <f>SUM(-(F107+F109-F108-F110))</f>
        <v>122335</v>
      </c>
      <c r="G112" s="165"/>
    </row>
    <row r="113" spans="1:8" x14ac:dyDescent="0.2">
      <c r="A113" s="88"/>
      <c r="B113" s="69" t="s">
        <v>963</v>
      </c>
      <c r="C113" s="145"/>
      <c r="D113" s="55"/>
      <c r="E113" s="177"/>
      <c r="F113" s="200"/>
    </row>
    <row r="114" spans="1:8" x14ac:dyDescent="0.2">
      <c r="A114" s="88" t="s">
        <v>302</v>
      </c>
      <c r="B114" s="64" t="s">
        <v>964</v>
      </c>
      <c r="C114" s="145" t="s">
        <v>1075</v>
      </c>
      <c r="D114" s="55"/>
      <c r="E114" s="177"/>
      <c r="F114" s="200"/>
    </row>
    <row r="115" spans="1:8" ht="33.75" x14ac:dyDescent="0.2">
      <c r="A115" s="88" t="s">
        <v>303</v>
      </c>
      <c r="B115" s="65" t="s">
        <v>965</v>
      </c>
      <c r="C115" s="145" t="s">
        <v>1076</v>
      </c>
      <c r="D115" s="55"/>
      <c r="E115" s="102">
        <v>2620</v>
      </c>
      <c r="F115" s="200"/>
    </row>
    <row r="116" spans="1:8" ht="33.75" x14ac:dyDescent="0.2">
      <c r="A116" s="88" t="s">
        <v>304</v>
      </c>
      <c r="B116" s="65" t="s">
        <v>966</v>
      </c>
      <c r="C116" s="145" t="s">
        <v>1077</v>
      </c>
      <c r="D116" s="55"/>
      <c r="E116" s="177"/>
      <c r="F116" s="103">
        <v>1052</v>
      </c>
    </row>
    <row r="117" spans="1:8" ht="22.5" x14ac:dyDescent="0.2">
      <c r="A117" s="88"/>
      <c r="B117" s="70" t="s">
        <v>967</v>
      </c>
      <c r="C117" s="145" t="s">
        <v>1078</v>
      </c>
      <c r="D117" s="55"/>
      <c r="E117" s="178">
        <f>IF((E111-E112-E114+E115-E116)&gt;0,(E111-E112-E114+E115-E116),0)</f>
        <v>0</v>
      </c>
      <c r="F117" s="186">
        <f>IF((F111-F112-F114+F115-F116)&gt;0,(F111-F112-F114+F115-F116),0)</f>
        <v>0</v>
      </c>
    </row>
    <row r="118" spans="1:8" ht="22.5" x14ac:dyDescent="0.2">
      <c r="A118" s="88"/>
      <c r="B118" s="65" t="s">
        <v>968</v>
      </c>
      <c r="C118" s="145" t="s">
        <v>1079</v>
      </c>
      <c r="D118" s="55"/>
      <c r="E118" s="177"/>
      <c r="F118" s="200"/>
    </row>
    <row r="119" spans="1:8" ht="22.5" x14ac:dyDescent="0.2">
      <c r="A119" s="88"/>
      <c r="B119" s="65" t="s">
        <v>969</v>
      </c>
      <c r="C119" s="145" t="s">
        <v>1080</v>
      </c>
      <c r="D119" s="55"/>
      <c r="E119" s="177"/>
      <c r="F119" s="200"/>
    </row>
    <row r="120" spans="1:8" ht="22.5" x14ac:dyDescent="0.2">
      <c r="A120" s="88"/>
      <c r="B120" s="70" t="s">
        <v>970</v>
      </c>
      <c r="C120" s="145" t="s">
        <v>1081</v>
      </c>
      <c r="D120" s="55"/>
      <c r="E120" s="175">
        <f>IF((E112-E111+E114-E115+E116)&gt;0,(E112-E111+E114-E115+E116),0)</f>
        <v>75057</v>
      </c>
      <c r="F120" s="186">
        <f>IF((F112-F111+F114-F115+F116)&gt;0,(F112-F111+F114-F115+F116),0)</f>
        <v>123387</v>
      </c>
    </row>
    <row r="121" spans="1:8" ht="22.5" x14ac:dyDescent="0.2">
      <c r="A121" s="88"/>
      <c r="B121" s="65" t="s">
        <v>971</v>
      </c>
      <c r="C121" s="145" t="s">
        <v>1082</v>
      </c>
      <c r="D121" s="55"/>
      <c r="E121" s="177"/>
      <c r="F121" s="200"/>
    </row>
    <row r="122" spans="1:8" ht="22.5" x14ac:dyDescent="0.2">
      <c r="A122" s="88"/>
      <c r="B122" s="65" t="s">
        <v>972</v>
      </c>
      <c r="C122" s="145" t="s">
        <v>1083</v>
      </c>
      <c r="D122" s="55"/>
      <c r="E122" s="177"/>
      <c r="F122" s="200"/>
    </row>
    <row r="123" spans="1:8" x14ac:dyDescent="0.2">
      <c r="A123" s="88"/>
      <c r="B123" s="64" t="s">
        <v>973</v>
      </c>
      <c r="C123" s="145"/>
      <c r="D123" s="55"/>
      <c r="E123" s="177"/>
      <c r="F123" s="200"/>
    </row>
    <row r="124" spans="1:8" x14ac:dyDescent="0.2">
      <c r="A124" s="88"/>
      <c r="B124" s="64" t="s">
        <v>974</v>
      </c>
      <c r="C124" s="145" t="s">
        <v>1084</v>
      </c>
      <c r="D124" s="55"/>
      <c r="E124" s="177"/>
      <c r="F124" s="200"/>
    </row>
    <row r="125" spans="1:8" ht="23.25" thickBot="1" x14ac:dyDescent="0.25">
      <c r="A125" s="91"/>
      <c r="B125" s="67" t="s">
        <v>975</v>
      </c>
      <c r="C125" s="146" t="s">
        <v>1085</v>
      </c>
      <c r="D125" s="201"/>
      <c r="E125" s="202"/>
      <c r="F125" s="203"/>
    </row>
    <row r="126" spans="1:8" x14ac:dyDescent="0.2">
      <c r="B126" s="71"/>
      <c r="E126" s="119"/>
      <c r="F126" s="119"/>
    </row>
    <row r="127" spans="1:8" x14ac:dyDescent="0.2">
      <c r="A127" s="92" t="s">
        <v>6</v>
      </c>
      <c r="B127" s="71"/>
      <c r="E127" s="119"/>
      <c r="F127" s="119"/>
      <c r="H127" s="162"/>
    </row>
    <row r="128" spans="1:8" x14ac:dyDescent="0.2">
      <c r="B128" s="71"/>
      <c r="E128" s="179"/>
      <c r="F128" s="179"/>
    </row>
    <row r="129" spans="1:11" x14ac:dyDescent="0.2">
      <c r="A129" s="92" t="s">
        <v>305</v>
      </c>
      <c r="B129" s="71"/>
      <c r="E129" s="179"/>
      <c r="F129" s="179"/>
      <c r="K129" s="141"/>
    </row>
    <row r="130" spans="1:11" x14ac:dyDescent="0.2">
      <c r="B130" s="71"/>
      <c r="E130" s="179"/>
      <c r="F130" s="179"/>
      <c r="K130" s="141"/>
    </row>
    <row r="131" spans="1:11" x14ac:dyDescent="0.2">
      <c r="B131" s="140"/>
      <c r="E131" s="179"/>
      <c r="F131" s="180"/>
      <c r="K131" s="141"/>
    </row>
    <row r="132" spans="1:11" x14ac:dyDescent="0.2">
      <c r="B132" s="140"/>
      <c r="E132" s="180"/>
      <c r="F132" s="180"/>
      <c r="K132" s="141"/>
    </row>
    <row r="133" spans="1:11" x14ac:dyDescent="0.2">
      <c r="B133" s="140"/>
      <c r="E133" s="180"/>
      <c r="F133" s="180"/>
    </row>
    <row r="134" spans="1:11" x14ac:dyDescent="0.2">
      <c r="B134" s="140"/>
      <c r="E134" s="180"/>
      <c r="F134" s="180"/>
    </row>
    <row r="135" spans="1:11" x14ac:dyDescent="0.2">
      <c r="B135" s="140"/>
      <c r="E135" s="180"/>
      <c r="F135" s="180"/>
    </row>
    <row r="136" spans="1:11" x14ac:dyDescent="0.2">
      <c r="B136" s="139"/>
      <c r="C136" s="172"/>
      <c r="E136" s="180"/>
      <c r="F136" s="180"/>
    </row>
    <row r="137" spans="1:11" x14ac:dyDescent="0.2">
      <c r="B137" s="139"/>
      <c r="C137" s="172"/>
      <c r="E137" s="119"/>
      <c r="F137" s="180"/>
    </row>
    <row r="138" spans="1:11" x14ac:dyDescent="0.2">
      <c r="B138" s="139"/>
      <c r="C138" s="172"/>
      <c r="E138" s="119"/>
      <c r="F138" s="180"/>
    </row>
    <row r="139" spans="1:11" x14ac:dyDescent="0.2">
      <c r="B139" s="140"/>
      <c r="C139" s="172"/>
      <c r="E139" s="119"/>
      <c r="F139" s="180"/>
    </row>
    <row r="140" spans="1:11" x14ac:dyDescent="0.2">
      <c r="B140" s="139"/>
      <c r="C140" s="172"/>
      <c r="E140" s="119"/>
      <c r="F140" s="180"/>
    </row>
    <row r="141" spans="1:11" x14ac:dyDescent="0.2">
      <c r="B141" s="139"/>
      <c r="C141" s="172"/>
      <c r="E141" s="119"/>
      <c r="F141" s="180"/>
    </row>
    <row r="142" spans="1:11" x14ac:dyDescent="0.2">
      <c r="B142" s="139"/>
      <c r="C142" s="172"/>
      <c r="E142" s="119"/>
      <c r="F142" s="180"/>
    </row>
    <row r="143" spans="1:11" x14ac:dyDescent="0.2">
      <c r="B143" s="139"/>
      <c r="C143" s="172"/>
      <c r="E143" s="119"/>
      <c r="F143" s="180"/>
    </row>
    <row r="144" spans="1:11" x14ac:dyDescent="0.2">
      <c r="B144" s="139"/>
      <c r="C144" s="172"/>
      <c r="E144" s="119"/>
      <c r="F144" s="180"/>
    </row>
    <row r="145" spans="2:6" x14ac:dyDescent="0.2">
      <c r="B145" s="139"/>
      <c r="E145" s="119"/>
      <c r="F145" s="180"/>
    </row>
    <row r="146" spans="2:6" x14ac:dyDescent="0.2">
      <c r="B146" s="71"/>
      <c r="E146" s="180"/>
      <c r="F146" s="180"/>
    </row>
    <row r="147" spans="2:6" x14ac:dyDescent="0.2">
      <c r="B147" s="71"/>
      <c r="E147" s="180"/>
      <c r="F147" s="119"/>
    </row>
    <row r="148" spans="2:6" x14ac:dyDescent="0.2">
      <c r="B148" s="71"/>
      <c r="E148" s="180"/>
      <c r="F148" s="119"/>
    </row>
    <row r="149" spans="2:6" x14ac:dyDescent="0.2">
      <c r="B149" s="71"/>
      <c r="E149" s="180"/>
      <c r="F149" s="119"/>
    </row>
    <row r="150" spans="2:6" x14ac:dyDescent="0.2">
      <c r="E150" s="180"/>
      <c r="F150" s="119"/>
    </row>
    <row r="151" spans="2:6" x14ac:dyDescent="0.2">
      <c r="E151" s="180"/>
      <c r="F151" s="119"/>
    </row>
    <row r="152" spans="2:6" x14ac:dyDescent="0.2">
      <c r="E152" s="119"/>
      <c r="F152" s="119"/>
    </row>
    <row r="153" spans="2:6" x14ac:dyDescent="0.2">
      <c r="E153" s="180"/>
      <c r="F153" s="119"/>
    </row>
    <row r="154" spans="2:6" x14ac:dyDescent="0.2">
      <c r="E154" s="119"/>
      <c r="F154" s="180"/>
    </row>
    <row r="155" spans="2:6" x14ac:dyDescent="0.2">
      <c r="E155" s="119"/>
      <c r="F155" s="119"/>
    </row>
    <row r="156" spans="2:6" x14ac:dyDescent="0.2">
      <c r="E156" s="119"/>
      <c r="F156" s="119"/>
    </row>
    <row r="157" spans="2:6" x14ac:dyDescent="0.2">
      <c r="E157" s="119"/>
      <c r="F157" s="119"/>
    </row>
    <row r="158" spans="2:6" x14ac:dyDescent="0.2">
      <c r="E158" s="180"/>
      <c r="F158" s="119"/>
    </row>
    <row r="159" spans="2:6" x14ac:dyDescent="0.2">
      <c r="E159" s="119"/>
      <c r="F159" s="119"/>
    </row>
    <row r="160" spans="2:6" x14ac:dyDescent="0.2">
      <c r="E160" s="119"/>
      <c r="F160" s="119"/>
    </row>
  </sheetData>
  <mergeCells count="7">
    <mergeCell ref="A2:F2"/>
    <mergeCell ref="A4:F4"/>
    <mergeCell ref="A7:A8"/>
    <mergeCell ref="B7:B8"/>
    <mergeCell ref="C7:C8"/>
    <mergeCell ref="D7:D8"/>
    <mergeCell ref="E7:F7"/>
  </mergeCells>
  <pageMargins left="0.34" right="0.35" top="0.17" bottom="0.32" header="0.15748031496062992" footer="0.31496062992125984"/>
  <pageSetup paperSize="9" scale="99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L20" sqref="L20"/>
    </sheetView>
  </sheetViews>
  <sheetFormatPr defaultColWidth="9.140625" defaultRowHeight="12.75" x14ac:dyDescent="0.2"/>
  <cols>
    <col min="1" max="1" width="9.140625" style="9"/>
    <col min="2" max="2" width="42.140625" style="9" customWidth="1"/>
    <col min="3" max="4" width="9.140625" style="9"/>
    <col min="5" max="6" width="15.7109375" style="9" customWidth="1"/>
    <col min="7" max="16384" width="9.140625" style="9"/>
  </cols>
  <sheetData>
    <row r="1" spans="1:6" ht="15.75" x14ac:dyDescent="0.2">
      <c r="A1" s="291" t="s">
        <v>306</v>
      </c>
      <c r="B1" s="291"/>
      <c r="C1" s="291"/>
      <c r="D1" s="291"/>
      <c r="E1" s="291"/>
      <c r="F1" s="291"/>
    </row>
    <row r="3" spans="1:6" x14ac:dyDescent="0.2">
      <c r="A3" s="292" t="s">
        <v>1253</v>
      </c>
      <c r="B3" s="291"/>
      <c r="C3" s="291"/>
      <c r="D3" s="291"/>
      <c r="E3" s="291"/>
      <c r="F3" s="291"/>
    </row>
    <row r="5" spans="1:6" ht="13.5" thickBot="1" x14ac:dyDescent="0.25">
      <c r="A5" s="38"/>
      <c r="F5" s="38" t="s">
        <v>24</v>
      </c>
    </row>
    <row r="6" spans="1:6" s="98" customFormat="1" ht="18.600000000000001" customHeight="1" x14ac:dyDescent="0.2">
      <c r="A6" s="273" t="s">
        <v>25</v>
      </c>
      <c r="B6" s="276" t="s">
        <v>26</v>
      </c>
      <c r="C6" s="282" t="s">
        <v>857</v>
      </c>
      <c r="D6" s="282" t="s">
        <v>858</v>
      </c>
      <c r="E6" s="276" t="s">
        <v>864</v>
      </c>
      <c r="F6" s="285"/>
    </row>
    <row r="7" spans="1:6" s="98" customFormat="1" ht="18.600000000000001" customHeight="1" thickBot="1" x14ac:dyDescent="0.25">
      <c r="A7" s="275"/>
      <c r="B7" s="278"/>
      <c r="C7" s="284"/>
      <c r="D7" s="284"/>
      <c r="E7" s="45" t="s">
        <v>28</v>
      </c>
      <c r="F7" s="46" t="s">
        <v>859</v>
      </c>
    </row>
    <row r="8" spans="1:6" ht="13.5" thickBot="1" x14ac:dyDescent="0.25">
      <c r="A8" s="204" t="s">
        <v>31</v>
      </c>
      <c r="B8" s="205" t="s">
        <v>32</v>
      </c>
      <c r="C8" s="205" t="s">
        <v>33</v>
      </c>
      <c r="D8" s="205" t="s">
        <v>34</v>
      </c>
      <c r="E8" s="205" t="s">
        <v>35</v>
      </c>
      <c r="F8" s="206" t="s">
        <v>36</v>
      </c>
    </row>
    <row r="9" spans="1:6" ht="20.100000000000001" customHeight="1" x14ac:dyDescent="0.2">
      <c r="A9" s="181"/>
      <c r="B9" s="207" t="s">
        <v>1101</v>
      </c>
      <c r="C9" s="170"/>
      <c r="D9" s="170"/>
      <c r="E9" s="211"/>
      <c r="F9" s="214"/>
    </row>
    <row r="10" spans="1:6" ht="20.100000000000001" customHeight="1" x14ac:dyDescent="0.2">
      <c r="A10" s="88"/>
      <c r="B10" s="150" t="s">
        <v>1102</v>
      </c>
      <c r="C10" s="145" t="s">
        <v>1125</v>
      </c>
      <c r="D10" s="145"/>
      <c r="E10" s="212"/>
      <c r="F10" s="215"/>
    </row>
    <row r="11" spans="1:6" ht="20.100000000000001" customHeight="1" x14ac:dyDescent="0.2">
      <c r="A11" s="88"/>
      <c r="B11" s="150" t="s">
        <v>1103</v>
      </c>
      <c r="C11" s="145" t="s">
        <v>1126</v>
      </c>
      <c r="D11" s="145"/>
      <c r="E11" s="102">
        <v>75057</v>
      </c>
      <c r="F11" s="103">
        <v>123387</v>
      </c>
    </row>
    <row r="12" spans="1:6" ht="24.95" customHeight="1" x14ac:dyDescent="0.2">
      <c r="A12" s="88"/>
      <c r="B12" s="208" t="s">
        <v>1104</v>
      </c>
      <c r="C12" s="145"/>
      <c r="D12" s="145"/>
      <c r="E12" s="212"/>
      <c r="F12" s="215"/>
    </row>
    <row r="13" spans="1:6" ht="21.95" customHeight="1" x14ac:dyDescent="0.2">
      <c r="A13" s="88"/>
      <c r="B13" s="209" t="s">
        <v>1105</v>
      </c>
      <c r="C13" s="145"/>
      <c r="D13" s="145"/>
      <c r="E13" s="212"/>
      <c r="F13" s="215"/>
    </row>
    <row r="14" spans="1:6" ht="20.100000000000001" customHeight="1" x14ac:dyDescent="0.2">
      <c r="A14" s="88" t="s">
        <v>103</v>
      </c>
      <c r="B14" s="209" t="s">
        <v>1106</v>
      </c>
      <c r="C14" s="145" t="s">
        <v>1127</v>
      </c>
      <c r="D14" s="145"/>
      <c r="E14" s="212"/>
      <c r="F14" s="215"/>
    </row>
    <row r="15" spans="1:6" ht="20.100000000000001" customHeight="1" x14ac:dyDescent="0.2">
      <c r="A15" s="88" t="s">
        <v>103</v>
      </c>
      <c r="B15" s="209" t="s">
        <v>1107</v>
      </c>
      <c r="C15" s="145" t="s">
        <v>1128</v>
      </c>
      <c r="D15" s="145"/>
      <c r="E15" s="212"/>
      <c r="F15" s="215"/>
    </row>
    <row r="16" spans="1:6" ht="20.100000000000001" customHeight="1" x14ac:dyDescent="0.2">
      <c r="A16" s="88" t="s">
        <v>1086</v>
      </c>
      <c r="B16" s="209" t="s">
        <v>1108</v>
      </c>
      <c r="C16" s="145" t="s">
        <v>1129</v>
      </c>
      <c r="D16" s="145"/>
      <c r="E16" s="212"/>
      <c r="F16" s="215"/>
    </row>
    <row r="17" spans="1:6" ht="20.100000000000001" customHeight="1" x14ac:dyDescent="0.2">
      <c r="A17" s="88" t="s">
        <v>1087</v>
      </c>
      <c r="B17" s="150" t="s">
        <v>1109</v>
      </c>
      <c r="C17" s="145" t="s">
        <v>1130</v>
      </c>
      <c r="D17" s="145"/>
      <c r="E17" s="212"/>
      <c r="F17" s="215"/>
    </row>
    <row r="18" spans="1:6" ht="22.5" x14ac:dyDescent="0.2">
      <c r="A18" s="88" t="s">
        <v>1088</v>
      </c>
      <c r="B18" s="210" t="s">
        <v>1110</v>
      </c>
      <c r="C18" s="145" t="s">
        <v>1131</v>
      </c>
      <c r="D18" s="145"/>
      <c r="E18" s="212"/>
      <c r="F18" s="215"/>
    </row>
    <row r="19" spans="1:6" ht="22.5" x14ac:dyDescent="0.2">
      <c r="A19" s="88" t="s">
        <v>1089</v>
      </c>
      <c r="B19" s="209" t="s">
        <v>1111</v>
      </c>
      <c r="C19" s="145" t="s">
        <v>1132</v>
      </c>
      <c r="D19" s="145"/>
      <c r="E19" s="212"/>
      <c r="F19" s="215"/>
    </row>
    <row r="20" spans="1:6" ht="22.5" x14ac:dyDescent="0.2">
      <c r="A20" s="88" t="s">
        <v>1090</v>
      </c>
      <c r="B20" s="209" t="s">
        <v>1112</v>
      </c>
      <c r="C20" s="145" t="s">
        <v>1133</v>
      </c>
      <c r="D20" s="145"/>
      <c r="E20" s="212"/>
      <c r="F20" s="215"/>
    </row>
    <row r="21" spans="1:6" ht="22.5" x14ac:dyDescent="0.2">
      <c r="A21" s="88" t="s">
        <v>1091</v>
      </c>
      <c r="B21" s="209" t="s">
        <v>1113</v>
      </c>
      <c r="C21" s="145" t="s">
        <v>1134</v>
      </c>
      <c r="D21" s="145"/>
      <c r="E21" s="212"/>
      <c r="F21" s="215"/>
    </row>
    <row r="22" spans="1:6" ht="33.75" x14ac:dyDescent="0.2">
      <c r="A22" s="88"/>
      <c r="B22" s="209" t="s">
        <v>1114</v>
      </c>
      <c r="C22" s="145"/>
      <c r="D22" s="145"/>
      <c r="E22" s="212"/>
      <c r="F22" s="215"/>
    </row>
    <row r="23" spans="1:6" ht="22.5" x14ac:dyDescent="0.2">
      <c r="A23" s="88" t="s">
        <v>1092</v>
      </c>
      <c r="B23" s="209" t="s">
        <v>1115</v>
      </c>
      <c r="C23" s="145" t="s">
        <v>1135</v>
      </c>
      <c r="D23" s="145"/>
      <c r="E23" s="212"/>
      <c r="F23" s="215"/>
    </row>
    <row r="24" spans="1:6" ht="22.5" x14ac:dyDescent="0.2">
      <c r="A24" s="88" t="s">
        <v>1093</v>
      </c>
      <c r="B24" s="209" t="s">
        <v>1116</v>
      </c>
      <c r="C24" s="145" t="s">
        <v>1136</v>
      </c>
      <c r="D24" s="145"/>
      <c r="E24" s="212"/>
      <c r="F24" s="215"/>
    </row>
    <row r="25" spans="1:6" ht="22.5" x14ac:dyDescent="0.2">
      <c r="A25" s="88" t="s">
        <v>1094</v>
      </c>
      <c r="B25" s="209" t="s">
        <v>1117</v>
      </c>
      <c r="C25" s="145" t="s">
        <v>1137</v>
      </c>
      <c r="D25" s="145"/>
      <c r="E25" s="102"/>
      <c r="F25" s="103"/>
    </row>
    <row r="26" spans="1:6" ht="22.5" x14ac:dyDescent="0.2">
      <c r="A26" s="88" t="s">
        <v>1095</v>
      </c>
      <c r="B26" s="209" t="s">
        <v>1118</v>
      </c>
      <c r="C26" s="145" t="s">
        <v>1138</v>
      </c>
      <c r="D26" s="145"/>
      <c r="E26" s="212"/>
      <c r="F26" s="215"/>
    </row>
    <row r="27" spans="1:6" ht="22.5" x14ac:dyDescent="0.2">
      <c r="A27" s="88" t="s">
        <v>1096</v>
      </c>
      <c r="B27" s="209" t="s">
        <v>1119</v>
      </c>
      <c r="C27" s="145" t="s">
        <v>1139</v>
      </c>
      <c r="D27" s="145"/>
      <c r="E27" s="212"/>
      <c r="F27" s="215"/>
    </row>
    <row r="28" spans="1:6" ht="22.5" x14ac:dyDescent="0.2">
      <c r="A28" s="88" t="s">
        <v>1097</v>
      </c>
      <c r="B28" s="209" t="s">
        <v>1120</v>
      </c>
      <c r="C28" s="145" t="s">
        <v>1140</v>
      </c>
      <c r="D28" s="145"/>
      <c r="E28" s="212"/>
      <c r="F28" s="215"/>
    </row>
    <row r="29" spans="1:6" x14ac:dyDescent="0.2">
      <c r="A29" s="88" t="s">
        <v>1098</v>
      </c>
      <c r="B29" s="150" t="s">
        <v>1121</v>
      </c>
      <c r="C29" s="145" t="s">
        <v>1141</v>
      </c>
      <c r="D29" s="145"/>
      <c r="E29" s="213">
        <f>24983+331</f>
        <v>25314</v>
      </c>
      <c r="F29" s="216">
        <f>13791-6869+10410</f>
        <v>17332</v>
      </c>
    </row>
    <row r="30" spans="1:6" x14ac:dyDescent="0.2">
      <c r="A30" s="88" t="s">
        <v>1099</v>
      </c>
      <c r="B30" s="150" t="s">
        <v>1122</v>
      </c>
      <c r="C30" s="145" t="s">
        <v>1142</v>
      </c>
      <c r="D30" s="145"/>
      <c r="E30" s="102"/>
      <c r="F30" s="103"/>
    </row>
    <row r="31" spans="1:6" x14ac:dyDescent="0.2">
      <c r="A31" s="88"/>
      <c r="B31" s="150" t="s">
        <v>1123</v>
      </c>
      <c r="C31" s="145"/>
      <c r="D31" s="145"/>
      <c r="E31" s="212"/>
      <c r="F31" s="215"/>
    </row>
    <row r="32" spans="1:6" ht="13.5" thickBot="1" x14ac:dyDescent="0.25">
      <c r="A32" s="91" t="s">
        <v>1100</v>
      </c>
      <c r="B32" s="154" t="s">
        <v>1124</v>
      </c>
      <c r="C32" s="146" t="s">
        <v>1143</v>
      </c>
      <c r="D32" s="146"/>
      <c r="E32" s="217"/>
      <c r="F32" s="218"/>
    </row>
    <row r="33" spans="1:6" ht="13.5" thickBot="1" x14ac:dyDescent="0.25">
      <c r="A33" s="38"/>
      <c r="B33" s="38"/>
      <c r="C33" s="38"/>
      <c r="D33" s="38"/>
      <c r="E33" s="39"/>
      <c r="F33" s="39"/>
    </row>
    <row r="34" spans="1:6" x14ac:dyDescent="0.2">
      <c r="A34" s="31" t="s">
        <v>307</v>
      </c>
      <c r="B34" s="22" t="s">
        <v>308</v>
      </c>
      <c r="C34" s="219" t="s">
        <v>1144</v>
      </c>
      <c r="D34" s="41"/>
      <c r="E34" s="220"/>
      <c r="F34" s="221"/>
    </row>
    <row r="35" spans="1:6" ht="19.5" x14ac:dyDescent="0.2">
      <c r="A35" s="24"/>
      <c r="B35" s="27" t="s">
        <v>309</v>
      </c>
      <c r="C35" s="12" t="s">
        <v>1145</v>
      </c>
      <c r="D35" s="13"/>
      <c r="E35" s="222">
        <f>SUM(E14+E16+E18+E20+E23+E25+E27+E29+E32)</f>
        <v>25314</v>
      </c>
      <c r="F35" s="223">
        <f>SUM(F14+F16+F18+F20+F23+F25+F27+F29+F32)</f>
        <v>17332</v>
      </c>
    </row>
    <row r="36" spans="1:6" ht="21" customHeight="1" x14ac:dyDescent="0.2">
      <c r="A36" s="24"/>
      <c r="B36" s="27" t="s">
        <v>310</v>
      </c>
      <c r="C36" s="12" t="s">
        <v>1146</v>
      </c>
      <c r="D36" s="13"/>
      <c r="E36" s="222">
        <f>SUM(E15+E17+E19+E21+E24+E26+E28+E30+E34)</f>
        <v>0</v>
      </c>
      <c r="F36" s="223">
        <f>SUM(F15+F17+F19+F21+F24+F26+F28+F30+F34)</f>
        <v>0</v>
      </c>
    </row>
    <row r="37" spans="1:6" ht="19.5" x14ac:dyDescent="0.2">
      <c r="A37" s="24"/>
      <c r="B37" s="27" t="s">
        <v>311</v>
      </c>
      <c r="C37" s="12" t="s">
        <v>1147</v>
      </c>
      <c r="D37" s="13"/>
      <c r="E37" s="224"/>
      <c r="F37" s="225"/>
    </row>
    <row r="38" spans="1:6" ht="19.5" x14ac:dyDescent="0.2">
      <c r="A38" s="24"/>
      <c r="B38" s="27" t="s">
        <v>312</v>
      </c>
      <c r="C38" s="12" t="s">
        <v>1148</v>
      </c>
      <c r="D38" s="13"/>
      <c r="E38" s="222">
        <f>SUM(E35-E36-E37)</f>
        <v>25314</v>
      </c>
      <c r="F38" s="223">
        <f>SUM(F35-F36-F37)</f>
        <v>17332</v>
      </c>
    </row>
    <row r="39" spans="1:6" ht="19.5" x14ac:dyDescent="0.2">
      <c r="A39" s="24"/>
      <c r="B39" s="27" t="s">
        <v>313</v>
      </c>
      <c r="C39" s="12" t="s">
        <v>1149</v>
      </c>
      <c r="D39" s="13"/>
      <c r="E39" s="222"/>
      <c r="F39" s="223"/>
    </row>
    <row r="40" spans="1:6" ht="24.95" customHeight="1" x14ac:dyDescent="0.2">
      <c r="A40" s="24"/>
      <c r="B40" s="27" t="s">
        <v>314</v>
      </c>
      <c r="C40" s="12"/>
      <c r="D40" s="13"/>
      <c r="E40" s="224"/>
      <c r="F40" s="225"/>
    </row>
    <row r="41" spans="1:6" ht="19.5" x14ac:dyDescent="0.2">
      <c r="A41" s="24"/>
      <c r="B41" s="27" t="s">
        <v>315</v>
      </c>
      <c r="C41" s="12" t="s">
        <v>1150</v>
      </c>
      <c r="D41" s="13"/>
      <c r="E41" s="222"/>
      <c r="F41" s="223"/>
    </row>
    <row r="42" spans="1:6" x14ac:dyDescent="0.2">
      <c r="A42" s="24"/>
      <c r="B42" s="14" t="s">
        <v>316</v>
      </c>
      <c r="C42" s="12" t="s">
        <v>1151</v>
      </c>
      <c r="D42" s="13"/>
      <c r="E42" s="224"/>
      <c r="F42" s="225"/>
    </row>
    <row r="43" spans="1:6" x14ac:dyDescent="0.2">
      <c r="A43" s="24"/>
      <c r="B43" s="14" t="s">
        <v>317</v>
      </c>
      <c r="C43" s="12" t="s">
        <v>1152</v>
      </c>
      <c r="D43" s="13"/>
      <c r="E43" s="224"/>
      <c r="F43" s="225"/>
    </row>
    <row r="44" spans="1:6" ht="19.5" x14ac:dyDescent="0.2">
      <c r="A44" s="24"/>
      <c r="B44" s="27" t="s">
        <v>318</v>
      </c>
      <c r="C44" s="12" t="s">
        <v>1153</v>
      </c>
      <c r="D44" s="13"/>
      <c r="E44" s="222">
        <f>SUM(-(E10+E38-E11-E39))</f>
        <v>49743</v>
      </c>
      <c r="F44" s="223">
        <f>SUM(-(F10+F38-F11-F39))</f>
        <v>106055</v>
      </c>
    </row>
    <row r="45" spans="1:6" x14ac:dyDescent="0.2">
      <c r="A45" s="24"/>
      <c r="B45" s="14" t="s">
        <v>316</v>
      </c>
      <c r="C45" s="12" t="s">
        <v>1154</v>
      </c>
      <c r="D45" s="13"/>
      <c r="E45" s="224"/>
      <c r="F45" s="225"/>
    </row>
    <row r="46" spans="1:6" ht="13.5" thickBot="1" x14ac:dyDescent="0.25">
      <c r="A46" s="28"/>
      <c r="B46" s="29" t="s">
        <v>317</v>
      </c>
      <c r="C46" s="152" t="s">
        <v>1155</v>
      </c>
      <c r="D46" s="42"/>
      <c r="E46" s="226"/>
      <c r="F46" s="227"/>
    </row>
    <row r="47" spans="1:6" x14ac:dyDescent="0.2">
      <c r="E47" s="40"/>
      <c r="F47" s="40"/>
    </row>
    <row r="48" spans="1:6" x14ac:dyDescent="0.2">
      <c r="A48" s="36" t="s">
        <v>319</v>
      </c>
    </row>
    <row r="50" spans="1:1" x14ac:dyDescent="0.2">
      <c r="A50" s="38" t="s">
        <v>320</v>
      </c>
    </row>
  </sheetData>
  <mergeCells count="7">
    <mergeCell ref="A1:F1"/>
    <mergeCell ref="A3:F3"/>
    <mergeCell ref="A6:A7"/>
    <mergeCell ref="B6:B7"/>
    <mergeCell ref="C6:C7"/>
    <mergeCell ref="D6:D7"/>
    <mergeCell ref="E6:F6"/>
  </mergeCells>
  <pageMargins left="0.25" right="0.25" top="0.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0"/>
  <sheetViews>
    <sheetView workbookViewId="0">
      <selection activeCell="J14" sqref="J14"/>
    </sheetView>
  </sheetViews>
  <sheetFormatPr defaultColWidth="8.85546875" defaultRowHeight="12.75" x14ac:dyDescent="0.2"/>
  <cols>
    <col min="1" max="2" width="3.7109375" style="9" customWidth="1"/>
    <col min="3" max="3" width="52.28515625" style="11" customWidth="1"/>
    <col min="4" max="4" width="6.7109375" style="9" customWidth="1"/>
    <col min="5" max="6" width="17" style="11" customWidth="1"/>
    <col min="7" max="16384" width="8.85546875" style="11"/>
  </cols>
  <sheetData>
    <row r="2" spans="1:6" ht="15.75" x14ac:dyDescent="0.2">
      <c r="A2" s="297" t="s">
        <v>1156</v>
      </c>
      <c r="B2" s="297"/>
      <c r="C2" s="297"/>
      <c r="D2" s="297"/>
      <c r="E2" s="297"/>
      <c r="F2" s="297"/>
    </row>
    <row r="4" spans="1:6" x14ac:dyDescent="0.2">
      <c r="A4" s="292" t="s">
        <v>1254</v>
      </c>
      <c r="B4" s="292"/>
      <c r="C4" s="292"/>
      <c r="D4" s="292"/>
      <c r="E4" s="292"/>
      <c r="F4" s="292"/>
    </row>
    <row r="5" spans="1:6" x14ac:dyDescent="0.2">
      <c r="A5" s="230"/>
    </row>
    <row r="6" spans="1:6" ht="13.5" thickBot="1" x14ac:dyDescent="0.25">
      <c r="E6" s="20"/>
      <c r="F6" s="228" t="s">
        <v>24</v>
      </c>
    </row>
    <row r="7" spans="1:6" s="98" customFormat="1" ht="11.25" x14ac:dyDescent="0.2">
      <c r="A7" s="300" t="s">
        <v>26</v>
      </c>
      <c r="B7" s="276"/>
      <c r="C7" s="276"/>
      <c r="D7" s="276" t="s">
        <v>14</v>
      </c>
      <c r="E7" s="276" t="s">
        <v>27</v>
      </c>
      <c r="F7" s="285"/>
    </row>
    <row r="8" spans="1:6" s="98" customFormat="1" ht="12" thickBot="1" x14ac:dyDescent="0.25">
      <c r="A8" s="301"/>
      <c r="B8" s="278"/>
      <c r="C8" s="278"/>
      <c r="D8" s="278"/>
      <c r="E8" s="45" t="s">
        <v>28</v>
      </c>
      <c r="F8" s="46" t="s">
        <v>859</v>
      </c>
    </row>
    <row r="9" spans="1:6" s="98" customFormat="1" ht="12" thickBot="1" x14ac:dyDescent="0.25">
      <c r="A9" s="302" t="s">
        <v>237</v>
      </c>
      <c r="B9" s="303"/>
      <c r="C9" s="303"/>
      <c r="D9" s="156" t="s">
        <v>860</v>
      </c>
      <c r="E9" s="156" t="s">
        <v>800</v>
      </c>
      <c r="F9" s="157" t="s">
        <v>861</v>
      </c>
    </row>
    <row r="10" spans="1:6" x14ac:dyDescent="0.2">
      <c r="A10" s="237" t="s">
        <v>1157</v>
      </c>
      <c r="B10" s="296" t="s">
        <v>1158</v>
      </c>
      <c r="C10" s="296"/>
      <c r="D10" s="41"/>
      <c r="E10" s="232"/>
      <c r="F10" s="106"/>
    </row>
    <row r="11" spans="1:6" x14ac:dyDescent="0.2">
      <c r="A11" s="238"/>
      <c r="B11" s="239" t="s">
        <v>1159</v>
      </c>
      <c r="C11" s="62" t="s">
        <v>1160</v>
      </c>
      <c r="D11" s="13" t="s">
        <v>321</v>
      </c>
      <c r="E11" s="108">
        <f>SUM(E12+E13+E14+E15+E16)</f>
        <v>3603322</v>
      </c>
      <c r="F11" s="109">
        <f>SUM(F12+F13+F14+F15+F16)</f>
        <v>3747302</v>
      </c>
    </row>
    <row r="12" spans="1:6" x14ac:dyDescent="0.2">
      <c r="A12" s="238"/>
      <c r="B12" s="12"/>
      <c r="C12" s="63" t="s">
        <v>1161</v>
      </c>
      <c r="D12" s="13" t="s">
        <v>322</v>
      </c>
      <c r="E12" s="107"/>
      <c r="F12" s="99"/>
    </row>
    <row r="13" spans="1:6" x14ac:dyDescent="0.2">
      <c r="A13" s="238"/>
      <c r="B13" s="12"/>
      <c r="C13" s="63" t="s">
        <v>1162</v>
      </c>
      <c r="D13" s="13" t="s">
        <v>323</v>
      </c>
      <c r="E13" s="107">
        <v>2827750</v>
      </c>
      <c r="F13" s="99">
        <v>2769449</v>
      </c>
    </row>
    <row r="14" spans="1:6" x14ac:dyDescent="0.2">
      <c r="A14" s="238"/>
      <c r="B14" s="12"/>
      <c r="C14" s="63" t="s">
        <v>1163</v>
      </c>
      <c r="D14" s="13" t="s">
        <v>324</v>
      </c>
      <c r="E14" s="107">
        <v>400057</v>
      </c>
      <c r="F14" s="99">
        <v>586300</v>
      </c>
    </row>
    <row r="15" spans="1:6" x14ac:dyDescent="0.2">
      <c r="A15" s="238"/>
      <c r="B15" s="12"/>
      <c r="C15" s="63" t="s">
        <v>1164</v>
      </c>
      <c r="D15" s="13" t="s">
        <v>325</v>
      </c>
      <c r="E15" s="107"/>
      <c r="F15" s="99"/>
    </row>
    <row r="16" spans="1:6" x14ac:dyDescent="0.2">
      <c r="A16" s="238"/>
      <c r="B16" s="12"/>
      <c r="C16" s="63" t="s">
        <v>1165</v>
      </c>
      <c r="D16" s="13" t="s">
        <v>326</v>
      </c>
      <c r="E16" s="107">
        <v>375515</v>
      </c>
      <c r="F16" s="99">
        <v>391553</v>
      </c>
    </row>
    <row r="17" spans="1:6" x14ac:dyDescent="0.2">
      <c r="A17" s="238"/>
      <c r="B17" s="239" t="s">
        <v>1166</v>
      </c>
      <c r="C17" s="62" t="s">
        <v>1167</v>
      </c>
      <c r="D17" s="13" t="s">
        <v>327</v>
      </c>
      <c r="E17" s="108">
        <f>SUM(E18+E19+E20+E21+E22+E23+E24+E25+E26)</f>
        <v>3757452</v>
      </c>
      <c r="F17" s="109">
        <f>SUM(F18+F19+F20+F21+F22+F23+F24+F25+F26)</f>
        <v>3415836</v>
      </c>
    </row>
    <row r="18" spans="1:6" ht="24" x14ac:dyDescent="0.2">
      <c r="A18" s="238"/>
      <c r="B18" s="12"/>
      <c r="C18" s="54" t="s">
        <v>1168</v>
      </c>
      <c r="D18" s="13" t="s">
        <v>328</v>
      </c>
      <c r="E18" s="107"/>
      <c r="F18" s="99"/>
    </row>
    <row r="19" spans="1:6" x14ac:dyDescent="0.2">
      <c r="A19" s="238"/>
      <c r="B19" s="12"/>
      <c r="C19" s="63" t="s">
        <v>1169</v>
      </c>
      <c r="D19" s="13" t="s">
        <v>329</v>
      </c>
      <c r="E19" s="107">
        <v>789488</v>
      </c>
      <c r="F19" s="99">
        <v>863269</v>
      </c>
    </row>
    <row r="20" spans="1:6" x14ac:dyDescent="0.2">
      <c r="A20" s="238"/>
      <c r="B20" s="12"/>
      <c r="C20" s="63" t="s">
        <v>1170</v>
      </c>
      <c r="D20" s="13" t="s">
        <v>330</v>
      </c>
      <c r="E20" s="107">
        <v>2778475</v>
      </c>
      <c r="F20" s="99">
        <v>2350592</v>
      </c>
    </row>
    <row r="21" spans="1:6" x14ac:dyDescent="0.2">
      <c r="A21" s="238"/>
      <c r="B21" s="12"/>
      <c r="C21" s="63" t="s">
        <v>1171</v>
      </c>
      <c r="D21" s="13" t="s">
        <v>331</v>
      </c>
      <c r="E21" s="107">
        <v>107563</v>
      </c>
      <c r="F21" s="99">
        <v>118713</v>
      </c>
    </row>
    <row r="22" spans="1:6" x14ac:dyDescent="0.2">
      <c r="A22" s="238"/>
      <c r="B22" s="12"/>
      <c r="C22" s="63" t="s">
        <v>1172</v>
      </c>
      <c r="D22" s="13" t="s">
        <v>332</v>
      </c>
      <c r="E22" s="107">
        <v>52666</v>
      </c>
      <c r="F22" s="99">
        <v>40793</v>
      </c>
    </row>
    <row r="23" spans="1:6" x14ac:dyDescent="0.2">
      <c r="A23" s="238"/>
      <c r="B23" s="12"/>
      <c r="C23" s="63" t="s">
        <v>1173</v>
      </c>
      <c r="D23" s="13" t="s">
        <v>333</v>
      </c>
      <c r="E23" s="107">
        <v>303</v>
      </c>
      <c r="F23" s="99">
        <v>44</v>
      </c>
    </row>
    <row r="24" spans="1:6" x14ac:dyDescent="0.2">
      <c r="A24" s="238"/>
      <c r="B24" s="12"/>
      <c r="C24" s="63" t="s">
        <v>1174</v>
      </c>
      <c r="D24" s="13" t="s">
        <v>334</v>
      </c>
      <c r="E24" s="107">
        <v>18665</v>
      </c>
      <c r="F24" s="99">
        <v>36436</v>
      </c>
    </row>
    <row r="25" spans="1:6" x14ac:dyDescent="0.2">
      <c r="A25" s="238"/>
      <c r="B25" s="12"/>
      <c r="C25" s="63" t="s">
        <v>1175</v>
      </c>
      <c r="D25" s="13" t="s">
        <v>335</v>
      </c>
      <c r="E25" s="107">
        <v>10292</v>
      </c>
      <c r="F25" s="99">
        <v>5989</v>
      </c>
    </row>
    <row r="26" spans="1:6" x14ac:dyDescent="0.2">
      <c r="A26" s="238"/>
      <c r="B26" s="12"/>
      <c r="C26" s="63" t="s">
        <v>1176</v>
      </c>
      <c r="D26" s="13" t="s">
        <v>336</v>
      </c>
      <c r="E26" s="107"/>
      <c r="F26" s="99"/>
    </row>
    <row r="27" spans="1:6" x14ac:dyDescent="0.2">
      <c r="A27" s="238"/>
      <c r="B27" s="239" t="s">
        <v>1177</v>
      </c>
      <c r="C27" s="62" t="s">
        <v>1178</v>
      </c>
      <c r="D27" s="13" t="s">
        <v>337</v>
      </c>
      <c r="E27" s="108"/>
      <c r="F27" s="109">
        <f>SUM(F11-F17)</f>
        <v>331466</v>
      </c>
    </row>
    <row r="28" spans="1:6" x14ac:dyDescent="0.2">
      <c r="A28" s="238"/>
      <c r="B28" s="239" t="s">
        <v>1179</v>
      </c>
      <c r="C28" s="62" t="s">
        <v>1180</v>
      </c>
      <c r="D28" s="13" t="s">
        <v>338</v>
      </c>
      <c r="E28" s="108">
        <f>SUM(E17-E11)</f>
        <v>154130</v>
      </c>
      <c r="F28" s="109"/>
    </row>
    <row r="29" spans="1:6" x14ac:dyDescent="0.2">
      <c r="A29" s="240" t="s">
        <v>1181</v>
      </c>
      <c r="B29" s="298" t="s">
        <v>1182</v>
      </c>
      <c r="C29" s="299"/>
      <c r="D29" s="13"/>
      <c r="E29" s="108"/>
      <c r="F29" s="109"/>
    </row>
    <row r="30" spans="1:6" x14ac:dyDescent="0.2">
      <c r="A30" s="240"/>
      <c r="B30" s="239" t="s">
        <v>1159</v>
      </c>
      <c r="C30" s="62" t="s">
        <v>1183</v>
      </c>
      <c r="D30" s="13" t="s">
        <v>339</v>
      </c>
      <c r="E30" s="108">
        <f>SUM(E31+E32+E33+E34+E35)</f>
        <v>34799</v>
      </c>
      <c r="F30" s="109">
        <f>SUM(F31+F32+F33+F34+F35)</f>
        <v>84732</v>
      </c>
    </row>
    <row r="31" spans="1:6" x14ac:dyDescent="0.2">
      <c r="A31" s="238"/>
      <c r="B31" s="12"/>
      <c r="C31" s="63" t="s">
        <v>1184</v>
      </c>
      <c r="D31" s="13" t="s">
        <v>340</v>
      </c>
      <c r="E31" s="107"/>
      <c r="F31" s="99"/>
    </row>
    <row r="32" spans="1:6" ht="24" x14ac:dyDescent="0.2">
      <c r="A32" s="238"/>
      <c r="B32" s="12"/>
      <c r="C32" s="54" t="s">
        <v>1185</v>
      </c>
      <c r="D32" s="13" t="s">
        <v>341</v>
      </c>
      <c r="E32" s="107"/>
      <c r="F32" s="99"/>
    </row>
    <row r="33" spans="1:8" ht="24" x14ac:dyDescent="0.2">
      <c r="A33" s="241"/>
      <c r="B33" s="242"/>
      <c r="C33" s="229" t="s">
        <v>1186</v>
      </c>
      <c r="D33" s="43" t="s">
        <v>342</v>
      </c>
      <c r="E33" s="233"/>
      <c r="F33" s="234"/>
      <c r="G33" s="44"/>
      <c r="H33" s="44"/>
    </row>
    <row r="34" spans="1:8" x14ac:dyDescent="0.2">
      <c r="A34" s="238"/>
      <c r="B34" s="12"/>
      <c r="C34" s="63" t="s">
        <v>1187</v>
      </c>
      <c r="D34" s="13" t="s">
        <v>343</v>
      </c>
      <c r="E34" s="107">
        <v>34799</v>
      </c>
      <c r="F34" s="99">
        <v>84732</v>
      </c>
    </row>
    <row r="35" spans="1:8" x14ac:dyDescent="0.2">
      <c r="A35" s="238"/>
      <c r="B35" s="12"/>
      <c r="C35" s="63" t="s">
        <v>1188</v>
      </c>
      <c r="D35" s="13" t="s">
        <v>344</v>
      </c>
      <c r="E35" s="107"/>
      <c r="F35" s="99"/>
    </row>
    <row r="36" spans="1:8" x14ac:dyDescent="0.2">
      <c r="A36" s="238"/>
      <c r="B36" s="239" t="s">
        <v>1166</v>
      </c>
      <c r="C36" s="62" t="s">
        <v>1189</v>
      </c>
      <c r="D36" s="13" t="s">
        <v>345</v>
      </c>
      <c r="E36" s="108">
        <f>SUM(E37+E38+E39)</f>
        <v>258013</v>
      </c>
      <c r="F36" s="109">
        <f>SUM(F37+F38+F39)</f>
        <v>238440</v>
      </c>
    </row>
    <row r="37" spans="1:8" x14ac:dyDescent="0.2">
      <c r="A37" s="238"/>
      <c r="B37" s="12"/>
      <c r="C37" s="63" t="s">
        <v>1190</v>
      </c>
      <c r="D37" s="13" t="s">
        <v>346</v>
      </c>
      <c r="E37" s="107"/>
      <c r="F37" s="99"/>
    </row>
    <row r="38" spans="1:8" ht="24" x14ac:dyDescent="0.2">
      <c r="A38" s="238"/>
      <c r="B38" s="12"/>
      <c r="C38" s="54" t="s">
        <v>1191</v>
      </c>
      <c r="D38" s="13" t="s">
        <v>347</v>
      </c>
      <c r="E38" s="107">
        <v>311</v>
      </c>
      <c r="F38" s="99">
        <v>447</v>
      </c>
    </row>
    <row r="39" spans="1:8" ht="24" x14ac:dyDescent="0.2">
      <c r="A39" s="241"/>
      <c r="B39" s="242"/>
      <c r="C39" s="229" t="s">
        <v>7</v>
      </c>
      <c r="D39" s="43" t="s">
        <v>348</v>
      </c>
      <c r="E39" s="233">
        <f>257786-84</f>
        <v>257702</v>
      </c>
      <c r="F39" s="234">
        <f>238436-443</f>
        <v>237993</v>
      </c>
      <c r="G39" s="44"/>
      <c r="H39" s="30"/>
    </row>
    <row r="40" spans="1:8" x14ac:dyDescent="0.2">
      <c r="A40" s="238"/>
      <c r="B40" s="239" t="s">
        <v>1177</v>
      </c>
      <c r="C40" s="62" t="s">
        <v>1192</v>
      </c>
      <c r="D40" s="13" t="s">
        <v>349</v>
      </c>
      <c r="E40" s="108"/>
      <c r="F40" s="109"/>
    </row>
    <row r="41" spans="1:8" x14ac:dyDescent="0.2">
      <c r="A41" s="238"/>
      <c r="B41" s="243" t="s">
        <v>1179</v>
      </c>
      <c r="C41" s="244" t="s">
        <v>1193</v>
      </c>
      <c r="D41" s="13" t="s">
        <v>350</v>
      </c>
      <c r="E41" s="108">
        <f>SUM(E36-E30)</f>
        <v>223214</v>
      </c>
      <c r="F41" s="109">
        <f>SUM(F36-F30)</f>
        <v>153708</v>
      </c>
    </row>
    <row r="42" spans="1:8" x14ac:dyDescent="0.2">
      <c r="A42" s="240" t="s">
        <v>1194</v>
      </c>
      <c r="B42" s="295" t="s">
        <v>1195</v>
      </c>
      <c r="C42" s="295"/>
      <c r="D42" s="13"/>
      <c r="E42" s="107"/>
      <c r="F42" s="99"/>
    </row>
    <row r="43" spans="1:8" x14ac:dyDescent="0.2">
      <c r="A43" s="238"/>
      <c r="B43" s="239" t="s">
        <v>1159</v>
      </c>
      <c r="C43" s="245" t="s">
        <v>1196</v>
      </c>
      <c r="D43" s="13" t="s">
        <v>351</v>
      </c>
      <c r="E43" s="108">
        <f>SUM(E44+E45+E46+E47+E48)</f>
        <v>132</v>
      </c>
      <c r="F43" s="109">
        <f>SUM(F44+F45+F46+F47+F48)</f>
        <v>155</v>
      </c>
    </row>
    <row r="44" spans="1:8" x14ac:dyDescent="0.2">
      <c r="A44" s="238"/>
      <c r="B44" s="12"/>
      <c r="C44" s="15" t="s">
        <v>1197</v>
      </c>
      <c r="D44" s="13" t="s">
        <v>352</v>
      </c>
      <c r="E44" s="107"/>
      <c r="F44" s="99"/>
    </row>
    <row r="45" spans="1:8" x14ac:dyDescent="0.2">
      <c r="A45" s="238"/>
      <c r="B45" s="12"/>
      <c r="C45" s="15" t="s">
        <v>1198</v>
      </c>
      <c r="D45" s="13" t="s">
        <v>353</v>
      </c>
      <c r="E45" s="107">
        <v>132</v>
      </c>
      <c r="F45" s="99">
        <v>155</v>
      </c>
    </row>
    <row r="46" spans="1:8" x14ac:dyDescent="0.2">
      <c r="A46" s="238"/>
      <c r="B46" s="12"/>
      <c r="C46" s="15" t="s">
        <v>1199</v>
      </c>
      <c r="D46" s="13" t="s">
        <v>354</v>
      </c>
      <c r="E46" s="107"/>
      <c r="F46" s="99"/>
    </row>
    <row r="47" spans="1:8" x14ac:dyDescent="0.2">
      <c r="A47" s="238"/>
      <c r="B47" s="12"/>
      <c r="C47" s="15" t="s">
        <v>1200</v>
      </c>
      <c r="D47" s="13" t="s">
        <v>355</v>
      </c>
      <c r="E47" s="107"/>
      <c r="F47" s="99"/>
    </row>
    <row r="48" spans="1:8" x14ac:dyDescent="0.2">
      <c r="A48" s="238"/>
      <c r="B48" s="12"/>
      <c r="C48" s="15" t="s">
        <v>1201</v>
      </c>
      <c r="D48" s="13" t="s">
        <v>356</v>
      </c>
      <c r="E48" s="107"/>
      <c r="F48" s="99"/>
    </row>
    <row r="49" spans="1:6" x14ac:dyDescent="0.2">
      <c r="A49" s="238"/>
      <c r="B49" s="239" t="s">
        <v>1166</v>
      </c>
      <c r="C49" s="245" t="s">
        <v>1202</v>
      </c>
      <c r="D49" s="13" t="s">
        <v>357</v>
      </c>
      <c r="E49" s="108">
        <f>SUM(E50+E51+E52+E53+E54+E55+E56)</f>
        <v>0</v>
      </c>
      <c r="F49" s="109">
        <f>SUM(F50+F51+F52+F53+F54+F55+F56)</f>
        <v>0</v>
      </c>
    </row>
    <row r="50" spans="1:6" x14ac:dyDescent="0.2">
      <c r="A50" s="238"/>
      <c r="B50" s="12"/>
      <c r="C50" s="15" t="s">
        <v>1203</v>
      </c>
      <c r="D50" s="13" t="s">
        <v>358</v>
      </c>
      <c r="E50" s="107"/>
      <c r="F50" s="99"/>
    </row>
    <row r="51" spans="1:6" x14ac:dyDescent="0.2">
      <c r="A51" s="238"/>
      <c r="B51" s="12"/>
      <c r="C51" s="15" t="s">
        <v>1204</v>
      </c>
      <c r="D51" s="13" t="s">
        <v>359</v>
      </c>
      <c r="E51" s="107"/>
      <c r="F51" s="99"/>
    </row>
    <row r="52" spans="1:6" x14ac:dyDescent="0.2">
      <c r="A52" s="238"/>
      <c r="B52" s="12"/>
      <c r="C52" s="15" t="s">
        <v>1205</v>
      </c>
      <c r="D52" s="13" t="s">
        <v>360</v>
      </c>
      <c r="E52" s="107"/>
      <c r="F52" s="99"/>
    </row>
    <row r="53" spans="1:6" x14ac:dyDescent="0.2">
      <c r="A53" s="238"/>
      <c r="B53" s="12"/>
      <c r="C53" s="15" t="s">
        <v>1200</v>
      </c>
      <c r="D53" s="13" t="s">
        <v>361</v>
      </c>
      <c r="E53" s="107"/>
      <c r="F53" s="99"/>
    </row>
    <row r="54" spans="1:6" x14ac:dyDescent="0.2">
      <c r="A54" s="238"/>
      <c r="B54" s="12"/>
      <c r="C54" s="15" t="s">
        <v>1201</v>
      </c>
      <c r="D54" s="13" t="s">
        <v>362</v>
      </c>
      <c r="E54" s="107"/>
      <c r="F54" s="99"/>
    </row>
    <row r="55" spans="1:6" x14ac:dyDescent="0.2">
      <c r="A55" s="238"/>
      <c r="B55" s="12"/>
      <c r="C55" s="15" t="s">
        <v>1206</v>
      </c>
      <c r="D55" s="13" t="s">
        <v>363</v>
      </c>
      <c r="E55" s="107"/>
      <c r="F55" s="99"/>
    </row>
    <row r="56" spans="1:6" x14ac:dyDescent="0.2">
      <c r="A56" s="238"/>
      <c r="B56" s="12"/>
      <c r="C56" s="15" t="s">
        <v>1207</v>
      </c>
      <c r="D56" s="13" t="s">
        <v>364</v>
      </c>
      <c r="E56" s="107"/>
      <c r="F56" s="99"/>
    </row>
    <row r="57" spans="1:6" x14ac:dyDescent="0.2">
      <c r="A57" s="238"/>
      <c r="B57" s="239" t="s">
        <v>1177</v>
      </c>
      <c r="C57" s="244" t="s">
        <v>1208</v>
      </c>
      <c r="D57" s="13" t="s">
        <v>365</v>
      </c>
      <c r="E57" s="108">
        <f>SUM(E43-E49)</f>
        <v>132</v>
      </c>
      <c r="F57" s="109">
        <f>SUM(F43-F49)</f>
        <v>155</v>
      </c>
    </row>
    <row r="58" spans="1:6" x14ac:dyDescent="0.2">
      <c r="A58" s="238"/>
      <c r="B58" s="239" t="s">
        <v>1179</v>
      </c>
      <c r="C58" s="244" t="s">
        <v>1209</v>
      </c>
      <c r="D58" s="13" t="s">
        <v>366</v>
      </c>
      <c r="E58" s="108"/>
      <c r="F58" s="109"/>
    </row>
    <row r="59" spans="1:6" x14ac:dyDescent="0.2">
      <c r="A59" s="240" t="s">
        <v>1210</v>
      </c>
      <c r="B59" s="295" t="s">
        <v>1211</v>
      </c>
      <c r="C59" s="295"/>
      <c r="D59" s="13" t="s">
        <v>367</v>
      </c>
      <c r="E59" s="108">
        <f>SUM(E11+E30+E43)</f>
        <v>3638253</v>
      </c>
      <c r="F59" s="109">
        <f>SUM(F11+F30+F43)</f>
        <v>3832189</v>
      </c>
    </row>
    <row r="60" spans="1:6" x14ac:dyDescent="0.2">
      <c r="A60" s="240" t="s">
        <v>1212</v>
      </c>
      <c r="B60" s="295" t="s">
        <v>1213</v>
      </c>
      <c r="C60" s="295"/>
      <c r="D60" s="13" t="s">
        <v>368</v>
      </c>
      <c r="E60" s="108">
        <f>SUM(E17+E36+E49)</f>
        <v>4015465</v>
      </c>
      <c r="F60" s="109">
        <f>SUM(F17+F36+F49)</f>
        <v>3654276</v>
      </c>
    </row>
    <row r="61" spans="1:6" x14ac:dyDescent="0.2">
      <c r="A61" s="240" t="s">
        <v>1214</v>
      </c>
      <c r="B61" s="295" t="s">
        <v>1215</v>
      </c>
      <c r="C61" s="295"/>
      <c r="D61" s="13" t="s">
        <v>369</v>
      </c>
      <c r="E61" s="108"/>
      <c r="F61" s="109">
        <f>SUM(F59-F60)</f>
        <v>177913</v>
      </c>
    </row>
    <row r="62" spans="1:6" x14ac:dyDescent="0.2">
      <c r="A62" s="240" t="s">
        <v>1216</v>
      </c>
      <c r="B62" s="295" t="s">
        <v>1217</v>
      </c>
      <c r="C62" s="295"/>
      <c r="D62" s="13" t="s">
        <v>370</v>
      </c>
      <c r="E62" s="108">
        <f>SUM(E60-E59)</f>
        <v>377212</v>
      </c>
      <c r="F62" s="109"/>
    </row>
    <row r="63" spans="1:6" x14ac:dyDescent="0.2">
      <c r="A63" s="240" t="s">
        <v>1218</v>
      </c>
      <c r="B63" s="295" t="s">
        <v>1219</v>
      </c>
      <c r="C63" s="295"/>
      <c r="D63" s="13" t="s">
        <v>371</v>
      </c>
      <c r="E63" s="107">
        <v>1174545</v>
      </c>
      <c r="F63" s="99">
        <v>927133</v>
      </c>
    </row>
    <row r="64" spans="1:6" x14ac:dyDescent="0.2">
      <c r="A64" s="240" t="s">
        <v>1220</v>
      </c>
      <c r="B64" s="298" t="s">
        <v>1221</v>
      </c>
      <c r="C64" s="299"/>
      <c r="D64" s="13" t="s">
        <v>372</v>
      </c>
      <c r="E64" s="107">
        <v>46055</v>
      </c>
      <c r="F64" s="99">
        <v>87403</v>
      </c>
    </row>
    <row r="65" spans="1:6" x14ac:dyDescent="0.2">
      <c r="A65" s="240" t="s">
        <v>1222</v>
      </c>
      <c r="B65" s="298" t="s">
        <v>1223</v>
      </c>
      <c r="C65" s="299"/>
      <c r="D65" s="13" t="s">
        <v>373</v>
      </c>
      <c r="E65" s="107">
        <v>507</v>
      </c>
      <c r="F65" s="99">
        <v>17904</v>
      </c>
    </row>
    <row r="66" spans="1:6" ht="13.5" thickBot="1" x14ac:dyDescent="0.25">
      <c r="A66" s="246" t="s">
        <v>1224</v>
      </c>
      <c r="B66" s="293" t="s">
        <v>1225</v>
      </c>
      <c r="C66" s="294"/>
      <c r="D66" s="42" t="s">
        <v>374</v>
      </c>
      <c r="E66" s="235">
        <f>SUM(E61-E62+E63+E64-E65)</f>
        <v>842881</v>
      </c>
      <c r="F66" s="236">
        <f>SUM(F61-F62+F63+F64-F65)</f>
        <v>1174545</v>
      </c>
    </row>
    <row r="68" spans="1:6" s="47" customFormat="1" x14ac:dyDescent="0.2">
      <c r="A68" s="231" t="s">
        <v>8</v>
      </c>
      <c r="D68" s="9"/>
      <c r="F68" s="158"/>
    </row>
    <row r="70" spans="1:6" s="47" customFormat="1" x14ac:dyDescent="0.2">
      <c r="A70" s="231" t="s">
        <v>9</v>
      </c>
      <c r="D70" s="9"/>
    </row>
  </sheetData>
  <mergeCells count="17">
    <mergeCell ref="B10:C10"/>
    <mergeCell ref="A2:F2"/>
    <mergeCell ref="A4:F4"/>
    <mergeCell ref="B64:C64"/>
    <mergeCell ref="B65:C65"/>
    <mergeCell ref="B29:C29"/>
    <mergeCell ref="A7:C8"/>
    <mergeCell ref="D7:D8"/>
    <mergeCell ref="E7:F7"/>
    <mergeCell ref="A9:C9"/>
    <mergeCell ref="B66:C66"/>
    <mergeCell ref="B42:C42"/>
    <mergeCell ref="B59:C59"/>
    <mergeCell ref="B60:C60"/>
    <mergeCell ref="B61:C61"/>
    <mergeCell ref="B62:C62"/>
    <mergeCell ref="B63:C63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1"/>
  <sheetViews>
    <sheetView zoomScale="80" zoomScaleNormal="80" workbookViewId="0">
      <selection activeCell="T19" sqref="T19"/>
    </sheetView>
  </sheetViews>
  <sheetFormatPr defaultColWidth="8.85546875" defaultRowHeight="12.75" x14ac:dyDescent="0.2"/>
  <cols>
    <col min="1" max="1" width="3" style="95" customWidth="1"/>
    <col min="2" max="2" width="38.28515625" style="48" customWidth="1"/>
    <col min="3" max="3" width="5.28515625" style="10" customWidth="1"/>
    <col min="4" max="4" width="10.7109375" style="9" customWidth="1"/>
    <col min="5" max="5" width="5.28515625" style="10" customWidth="1"/>
    <col min="6" max="6" width="9" style="9" bestFit="1" customWidth="1"/>
    <col min="7" max="7" width="5.28515625" style="10" customWidth="1"/>
    <col min="8" max="8" width="9" style="9" bestFit="1" customWidth="1"/>
    <col min="9" max="9" width="5.28515625" style="10" customWidth="1"/>
    <col min="10" max="10" width="9" style="9" bestFit="1" customWidth="1"/>
    <col min="11" max="11" width="5.28515625" style="10" customWidth="1"/>
    <col min="12" max="12" width="9" style="9" bestFit="1" customWidth="1"/>
    <col min="13" max="13" width="5.28515625" style="10" customWidth="1"/>
    <col min="14" max="14" width="10.28515625" style="9" bestFit="1" customWidth="1"/>
    <col min="15" max="15" width="5.28515625" style="10" customWidth="1"/>
    <col min="16" max="16" width="9" style="9" bestFit="1" customWidth="1"/>
    <col min="17" max="17" width="5.28515625" style="10" customWidth="1"/>
    <col min="18" max="18" width="9.140625" style="9" bestFit="1" customWidth="1"/>
    <col min="19" max="19" width="5.28515625" style="10" customWidth="1"/>
    <col min="20" max="20" width="9" style="9" bestFit="1" customWidth="1"/>
    <col min="21" max="21" width="5.28515625" style="10" customWidth="1"/>
    <col min="22" max="22" width="9" style="9" bestFit="1" customWidth="1"/>
    <col min="23" max="23" width="5.28515625" style="10" customWidth="1"/>
    <col min="24" max="24" width="9" style="9" bestFit="1" customWidth="1"/>
    <col min="25" max="25" width="5.28515625" style="10" customWidth="1"/>
    <col min="26" max="26" width="9" style="9" bestFit="1" customWidth="1"/>
    <col min="27" max="27" width="5.28515625" style="10" customWidth="1"/>
    <col min="28" max="28" width="9.140625" style="9" bestFit="1" customWidth="1"/>
    <col min="29" max="29" width="5.140625" style="10" customWidth="1"/>
    <col min="30" max="30" width="8.85546875" style="9"/>
    <col min="31" max="16384" width="8.85546875" style="11"/>
  </cols>
  <sheetData>
    <row r="1" spans="1:30" ht="13.5" thickBot="1" x14ac:dyDescent="0.25"/>
    <row r="2" spans="1:30" s="98" customFormat="1" ht="67.5" x14ac:dyDescent="0.2">
      <c r="A2" s="247" t="s">
        <v>1250</v>
      </c>
      <c r="B2" s="97" t="s">
        <v>1226</v>
      </c>
      <c r="C2" s="306" t="s">
        <v>14</v>
      </c>
      <c r="D2" s="248" t="s">
        <v>13</v>
      </c>
      <c r="E2" s="289" t="s">
        <v>14</v>
      </c>
      <c r="F2" s="248" t="s">
        <v>1227</v>
      </c>
      <c r="G2" s="289" t="s">
        <v>14</v>
      </c>
      <c r="H2" s="248" t="s">
        <v>1228</v>
      </c>
      <c r="I2" s="289" t="s">
        <v>14</v>
      </c>
      <c r="J2" s="248" t="s">
        <v>1229</v>
      </c>
      <c r="K2" s="289" t="s">
        <v>14</v>
      </c>
      <c r="L2" s="248" t="s">
        <v>15</v>
      </c>
      <c r="M2" s="289" t="s">
        <v>14</v>
      </c>
      <c r="N2" s="248" t="s">
        <v>16</v>
      </c>
      <c r="O2" s="289" t="s">
        <v>14</v>
      </c>
      <c r="P2" s="248" t="s">
        <v>1230</v>
      </c>
      <c r="Q2" s="289" t="s">
        <v>14</v>
      </c>
      <c r="R2" s="248" t="s">
        <v>17</v>
      </c>
      <c r="S2" s="289" t="s">
        <v>14</v>
      </c>
      <c r="T2" s="248" t="s">
        <v>18</v>
      </c>
      <c r="U2" s="289" t="s">
        <v>14</v>
      </c>
      <c r="V2" s="248" t="s">
        <v>19</v>
      </c>
      <c r="W2" s="289" t="s">
        <v>14</v>
      </c>
      <c r="X2" s="248" t="s">
        <v>1231</v>
      </c>
      <c r="Y2" s="289" t="s">
        <v>14</v>
      </c>
      <c r="Z2" s="248" t="s">
        <v>1232</v>
      </c>
      <c r="AA2" s="289" t="s">
        <v>14</v>
      </c>
      <c r="AB2" s="248" t="s">
        <v>1233</v>
      </c>
      <c r="AC2" s="289" t="s">
        <v>14</v>
      </c>
      <c r="AD2" s="249" t="s">
        <v>1234</v>
      </c>
    </row>
    <row r="3" spans="1:30" s="50" customFormat="1" ht="12" thickBot="1" x14ac:dyDescent="0.25">
      <c r="A3" s="304" t="s">
        <v>1235</v>
      </c>
      <c r="B3" s="305"/>
      <c r="C3" s="307"/>
      <c r="D3" s="269" t="s">
        <v>1236</v>
      </c>
      <c r="E3" s="290"/>
      <c r="F3" s="269" t="s">
        <v>1237</v>
      </c>
      <c r="G3" s="290"/>
      <c r="H3" s="269" t="s">
        <v>1238</v>
      </c>
      <c r="I3" s="290"/>
      <c r="J3" s="269" t="s">
        <v>1239</v>
      </c>
      <c r="K3" s="290"/>
      <c r="L3" s="269" t="s">
        <v>1240</v>
      </c>
      <c r="M3" s="290"/>
      <c r="N3" s="269" t="s">
        <v>1241</v>
      </c>
      <c r="O3" s="290"/>
      <c r="P3" s="269" t="s">
        <v>1242</v>
      </c>
      <c r="Q3" s="290"/>
      <c r="R3" s="269" t="s">
        <v>1243</v>
      </c>
      <c r="S3" s="290"/>
      <c r="T3" s="269" t="s">
        <v>1244</v>
      </c>
      <c r="U3" s="290"/>
      <c r="V3" s="269" t="s">
        <v>1245</v>
      </c>
      <c r="W3" s="290"/>
      <c r="X3" s="269" t="s">
        <v>1246</v>
      </c>
      <c r="Y3" s="290"/>
      <c r="Z3" s="269" t="s">
        <v>1247</v>
      </c>
      <c r="AA3" s="290"/>
      <c r="AB3" s="269" t="s">
        <v>1248</v>
      </c>
      <c r="AC3" s="290"/>
      <c r="AD3" s="270" t="s">
        <v>1249</v>
      </c>
    </row>
    <row r="4" spans="1:30" ht="22.5" x14ac:dyDescent="0.2">
      <c r="A4" s="181">
        <v>1</v>
      </c>
      <c r="B4" s="266" t="s">
        <v>20</v>
      </c>
      <c r="C4" s="267" t="s">
        <v>375</v>
      </c>
      <c r="D4" s="211">
        <f>729747+35055</f>
        <v>764802</v>
      </c>
      <c r="E4" s="170" t="s">
        <v>376</v>
      </c>
      <c r="F4" s="211">
        <v>3444</v>
      </c>
      <c r="G4" s="170" t="s">
        <v>377</v>
      </c>
      <c r="H4" s="170"/>
      <c r="I4" s="170" t="s">
        <v>378</v>
      </c>
      <c r="J4" s="211">
        <v>57996</v>
      </c>
      <c r="K4" s="170" t="s">
        <v>379</v>
      </c>
      <c r="L4" s="211">
        <f>153737+23</f>
        <v>153760</v>
      </c>
      <c r="M4" s="170" t="s">
        <v>380</v>
      </c>
      <c r="N4" s="211">
        <f>3045+3824</f>
        <v>6869</v>
      </c>
      <c r="O4" s="170" t="s">
        <v>381</v>
      </c>
      <c r="P4" s="211">
        <v>363463</v>
      </c>
      <c r="Q4" s="170" t="s">
        <v>382</v>
      </c>
      <c r="R4" s="211">
        <f>SUM(D4+F4+H4+J4+L4+N4+P4)</f>
        <v>1350334</v>
      </c>
      <c r="S4" s="170" t="s">
        <v>383</v>
      </c>
      <c r="T4" s="170">
        <v>0</v>
      </c>
      <c r="U4" s="170" t="s">
        <v>384</v>
      </c>
      <c r="V4" s="170"/>
      <c r="W4" s="170" t="s">
        <v>385</v>
      </c>
      <c r="X4" s="211">
        <v>11235</v>
      </c>
      <c r="Y4" s="170" t="s">
        <v>386</v>
      </c>
      <c r="Z4" s="170">
        <f>SUM(T4+V4+X4)</f>
        <v>11235</v>
      </c>
      <c r="AA4" s="170" t="s">
        <v>387</v>
      </c>
      <c r="AB4" s="211">
        <f>SUM(R4-Z4)</f>
        <v>1339099</v>
      </c>
      <c r="AC4" s="170" t="s">
        <v>388</v>
      </c>
      <c r="AD4" s="268"/>
    </row>
    <row r="5" spans="1:30" ht="33.75" x14ac:dyDescent="0.2">
      <c r="A5" s="88">
        <f>1+A4</f>
        <v>2</v>
      </c>
      <c r="B5" s="33" t="s">
        <v>10</v>
      </c>
      <c r="C5" s="16" t="s">
        <v>389</v>
      </c>
      <c r="D5" s="212"/>
      <c r="E5" s="145" t="s">
        <v>390</v>
      </c>
      <c r="F5" s="212"/>
      <c r="G5" s="145" t="s">
        <v>391</v>
      </c>
      <c r="H5" s="145"/>
      <c r="I5" s="145" t="s">
        <v>392</v>
      </c>
      <c r="J5" s="145"/>
      <c r="K5" s="145" t="s">
        <v>393</v>
      </c>
      <c r="L5" s="145"/>
      <c r="M5" s="145" t="s">
        <v>394</v>
      </c>
      <c r="N5" s="145"/>
      <c r="O5" s="145" t="s">
        <v>395</v>
      </c>
      <c r="P5" s="145"/>
      <c r="Q5" s="145" t="s">
        <v>396</v>
      </c>
      <c r="R5" s="212">
        <f t="shared" ref="R5:R6" si="0">SUM(D5+F5+H5+J5+L5+N5+P5)</f>
        <v>0</v>
      </c>
      <c r="S5" s="145" t="s">
        <v>397</v>
      </c>
      <c r="T5" s="145"/>
      <c r="U5" s="145" t="s">
        <v>398</v>
      </c>
      <c r="V5" s="145"/>
      <c r="W5" s="145" t="s">
        <v>399</v>
      </c>
      <c r="X5" s="145"/>
      <c r="Y5" s="145" t="s">
        <v>400</v>
      </c>
      <c r="Z5" s="145">
        <f t="shared" ref="Z5:Z6" si="1">SUM(T5+V5+X5)</f>
        <v>0</v>
      </c>
      <c r="AA5" s="145" t="s">
        <v>401</v>
      </c>
      <c r="AB5" s="212">
        <f t="shared" ref="AB5:AB21" si="2">SUM(R5-Z5)</f>
        <v>0</v>
      </c>
      <c r="AC5" s="145" t="s">
        <v>402</v>
      </c>
      <c r="AD5" s="256"/>
    </row>
    <row r="6" spans="1:30" ht="33.75" x14ac:dyDescent="0.2">
      <c r="A6" s="88">
        <f t="shared" ref="A6:A23" si="3">1+A5</f>
        <v>3</v>
      </c>
      <c r="B6" s="33" t="s">
        <v>11</v>
      </c>
      <c r="C6" s="16" t="s">
        <v>403</v>
      </c>
      <c r="D6" s="212"/>
      <c r="E6" s="145" t="s">
        <v>404</v>
      </c>
      <c r="F6" s="212"/>
      <c r="G6" s="145" t="s">
        <v>405</v>
      </c>
      <c r="H6" s="145"/>
      <c r="I6" s="145" t="s">
        <v>406</v>
      </c>
      <c r="J6" s="145"/>
      <c r="K6" s="145" t="s">
        <v>407</v>
      </c>
      <c r="L6" s="145"/>
      <c r="M6" s="145" t="s">
        <v>408</v>
      </c>
      <c r="N6" s="145"/>
      <c r="O6" s="145" t="s">
        <v>409</v>
      </c>
      <c r="P6" s="145"/>
      <c r="Q6" s="145" t="s">
        <v>410</v>
      </c>
      <c r="R6" s="212">
        <f t="shared" si="0"/>
        <v>0</v>
      </c>
      <c r="S6" s="145" t="s">
        <v>411</v>
      </c>
      <c r="T6" s="145"/>
      <c r="U6" s="145" t="s">
        <v>412</v>
      </c>
      <c r="V6" s="145"/>
      <c r="W6" s="145" t="s">
        <v>413</v>
      </c>
      <c r="X6" s="145"/>
      <c r="Y6" s="145" t="s">
        <v>414</v>
      </c>
      <c r="Z6" s="145">
        <f t="shared" si="1"/>
        <v>0</v>
      </c>
      <c r="AA6" s="145" t="s">
        <v>401</v>
      </c>
      <c r="AB6" s="212">
        <f t="shared" si="2"/>
        <v>0</v>
      </c>
      <c r="AC6" s="145" t="s">
        <v>415</v>
      </c>
      <c r="AD6" s="256"/>
    </row>
    <row r="7" spans="1:30" ht="33.75" x14ac:dyDescent="0.2">
      <c r="A7" s="88">
        <f t="shared" si="3"/>
        <v>4</v>
      </c>
      <c r="B7" s="53" t="s">
        <v>21</v>
      </c>
      <c r="C7" s="16" t="s">
        <v>416</v>
      </c>
      <c r="D7" s="212">
        <f>SUM(D4+D5-D6)</f>
        <v>764802</v>
      </c>
      <c r="E7" s="145" t="s">
        <v>417</v>
      </c>
      <c r="F7" s="212">
        <f>SUM(F4+F5-F6)</f>
        <v>3444</v>
      </c>
      <c r="G7" s="145" t="s">
        <v>418</v>
      </c>
      <c r="H7" s="212">
        <f>SUM(H4+H5-H6)</f>
        <v>0</v>
      </c>
      <c r="I7" s="145" t="s">
        <v>419</v>
      </c>
      <c r="J7" s="212">
        <f>SUM(J4+J5-J6)</f>
        <v>57996</v>
      </c>
      <c r="K7" s="145" t="s">
        <v>420</v>
      </c>
      <c r="L7" s="212">
        <f>SUM(L4+L5-L6)</f>
        <v>153760</v>
      </c>
      <c r="M7" s="145" t="s">
        <v>421</v>
      </c>
      <c r="N7" s="212">
        <f>SUM(N4+N5-N6)</f>
        <v>6869</v>
      </c>
      <c r="O7" s="145" t="s">
        <v>422</v>
      </c>
      <c r="P7" s="212">
        <f>SUM(P4+P5-P6)</f>
        <v>363463</v>
      </c>
      <c r="Q7" s="145" t="s">
        <v>423</v>
      </c>
      <c r="R7" s="212">
        <f>SUM(R4+R5-R6)</f>
        <v>1350334</v>
      </c>
      <c r="S7" s="145" t="s">
        <v>424</v>
      </c>
      <c r="T7" s="212">
        <f>SUM(T4+T5-T6)</f>
        <v>0</v>
      </c>
      <c r="U7" s="145" t="s">
        <v>425</v>
      </c>
      <c r="V7" s="212">
        <f>SUM(V4+V5-V6)</f>
        <v>0</v>
      </c>
      <c r="W7" s="145" t="s">
        <v>426</v>
      </c>
      <c r="X7" s="212">
        <f>SUM(X4+X5-X6)</f>
        <v>11235</v>
      </c>
      <c r="Y7" s="145" t="s">
        <v>427</v>
      </c>
      <c r="Z7" s="212">
        <f>SUM(Z4+Z5-Z6)</f>
        <v>11235</v>
      </c>
      <c r="AA7" s="145" t="s">
        <v>428</v>
      </c>
      <c r="AB7" s="212">
        <f t="shared" si="2"/>
        <v>1339099</v>
      </c>
      <c r="AC7" s="145" t="s">
        <v>429</v>
      </c>
      <c r="AD7" s="256"/>
    </row>
    <row r="8" spans="1:30" x14ac:dyDescent="0.2">
      <c r="A8" s="88">
        <f t="shared" si="3"/>
        <v>5</v>
      </c>
      <c r="B8" s="52" t="s">
        <v>12</v>
      </c>
      <c r="C8" s="16" t="s">
        <v>430</v>
      </c>
      <c r="D8" s="212"/>
      <c r="E8" s="145" t="s">
        <v>401</v>
      </c>
      <c r="F8" s="212"/>
      <c r="G8" s="145" t="s">
        <v>431</v>
      </c>
      <c r="H8" s="145"/>
      <c r="I8" s="145" t="s">
        <v>432</v>
      </c>
      <c r="J8" s="145"/>
      <c r="K8" s="145" t="s">
        <v>401</v>
      </c>
      <c r="L8" s="145"/>
      <c r="M8" s="145" t="s">
        <v>401</v>
      </c>
      <c r="N8" s="145"/>
      <c r="O8" s="145" t="s">
        <v>401</v>
      </c>
      <c r="P8" s="145"/>
      <c r="Q8" s="145" t="s">
        <v>433</v>
      </c>
      <c r="R8" s="212">
        <f t="shared" ref="R8:R21" si="4">SUM(D8+F8+H8+J8+L8+N8+P8)</f>
        <v>0</v>
      </c>
      <c r="S8" s="145" t="s">
        <v>401</v>
      </c>
      <c r="T8" s="145"/>
      <c r="U8" s="145" t="s">
        <v>401</v>
      </c>
      <c r="V8" s="145"/>
      <c r="W8" s="145" t="s">
        <v>401</v>
      </c>
      <c r="X8" s="145"/>
      <c r="Y8" s="145" t="s">
        <v>401</v>
      </c>
      <c r="Z8" s="145">
        <f t="shared" ref="Z8:Z21" si="5">SUM(T8+V8+X8)</f>
        <v>0</v>
      </c>
      <c r="AA8" s="145" t="s">
        <v>401</v>
      </c>
      <c r="AB8" s="212">
        <f t="shared" si="2"/>
        <v>0</v>
      </c>
      <c r="AC8" s="145" t="s">
        <v>401</v>
      </c>
      <c r="AD8" s="256" t="s">
        <v>401</v>
      </c>
    </row>
    <row r="9" spans="1:30" ht="33.75" x14ac:dyDescent="0.2">
      <c r="A9" s="88">
        <f t="shared" si="3"/>
        <v>6</v>
      </c>
      <c r="B9" s="2" t="s">
        <v>22</v>
      </c>
      <c r="C9" s="16" t="s">
        <v>401</v>
      </c>
      <c r="D9" s="212"/>
      <c r="E9" s="145" t="s">
        <v>401</v>
      </c>
      <c r="F9" s="212"/>
      <c r="G9" s="145" t="s">
        <v>401</v>
      </c>
      <c r="H9" s="145"/>
      <c r="I9" s="145" t="s">
        <v>401</v>
      </c>
      <c r="J9" s="145"/>
      <c r="K9" s="145" t="s">
        <v>401</v>
      </c>
      <c r="L9" s="145"/>
      <c r="M9" s="145" t="s">
        <v>434</v>
      </c>
      <c r="N9" s="257">
        <f>18617+4481-3045-3824</f>
        <v>16229</v>
      </c>
      <c r="O9" s="145" t="s">
        <v>401</v>
      </c>
      <c r="P9" s="145"/>
      <c r="Q9" s="145" t="s">
        <v>435</v>
      </c>
      <c r="R9" s="212">
        <f t="shared" si="4"/>
        <v>16229</v>
      </c>
      <c r="S9" s="145" t="s">
        <v>401</v>
      </c>
      <c r="T9" s="145"/>
      <c r="U9" s="145" t="s">
        <v>401</v>
      </c>
      <c r="V9" s="145"/>
      <c r="W9" s="145" t="s">
        <v>401</v>
      </c>
      <c r="X9" s="212">
        <f>14406-11235</f>
        <v>3171</v>
      </c>
      <c r="Y9" s="145" t="s">
        <v>401</v>
      </c>
      <c r="Z9" s="145">
        <f t="shared" si="5"/>
        <v>3171</v>
      </c>
      <c r="AA9" s="145" t="s">
        <v>401</v>
      </c>
      <c r="AB9" s="212">
        <f t="shared" si="2"/>
        <v>13058</v>
      </c>
      <c r="AC9" s="145" t="s">
        <v>401</v>
      </c>
      <c r="AD9" s="256" t="s">
        <v>401</v>
      </c>
    </row>
    <row r="10" spans="1:30" x14ac:dyDescent="0.2">
      <c r="A10" s="88">
        <f t="shared" si="3"/>
        <v>7</v>
      </c>
      <c r="B10" s="33" t="s">
        <v>436</v>
      </c>
      <c r="C10" s="16" t="s">
        <v>401</v>
      </c>
      <c r="D10" s="212"/>
      <c r="E10" s="145" t="s">
        <v>401</v>
      </c>
      <c r="F10" s="212"/>
      <c r="G10" s="145" t="s">
        <v>401</v>
      </c>
      <c r="H10" s="145"/>
      <c r="I10" s="145" t="s">
        <v>401</v>
      </c>
      <c r="J10" s="145"/>
      <c r="K10" s="145" t="s">
        <v>401</v>
      </c>
      <c r="L10" s="145"/>
      <c r="M10" s="145" t="s">
        <v>437</v>
      </c>
      <c r="N10" s="212">
        <f>8269+1040</f>
        <v>9309</v>
      </c>
      <c r="O10" s="145" t="s">
        <v>401</v>
      </c>
      <c r="P10" s="145"/>
      <c r="Q10" s="145" t="s">
        <v>438</v>
      </c>
      <c r="R10" s="212">
        <f t="shared" si="4"/>
        <v>9309</v>
      </c>
      <c r="S10" s="145" t="s">
        <v>401</v>
      </c>
      <c r="T10" s="145"/>
      <c r="U10" s="145" t="s">
        <v>401</v>
      </c>
      <c r="V10" s="145"/>
      <c r="W10" s="145" t="s">
        <v>401</v>
      </c>
      <c r="X10" s="212">
        <v>13581</v>
      </c>
      <c r="Y10" s="145" t="s">
        <v>401</v>
      </c>
      <c r="Z10" s="145">
        <f t="shared" si="5"/>
        <v>13581</v>
      </c>
      <c r="AA10" s="145" t="s">
        <v>401</v>
      </c>
      <c r="AB10" s="212">
        <f t="shared" si="2"/>
        <v>-4272</v>
      </c>
      <c r="AC10" s="145" t="s">
        <v>401</v>
      </c>
      <c r="AD10" s="256" t="s">
        <v>401</v>
      </c>
    </row>
    <row r="11" spans="1:30" ht="19.5" x14ac:dyDescent="0.2">
      <c r="A11" s="88">
        <f t="shared" si="3"/>
        <v>8</v>
      </c>
      <c r="B11" s="33" t="s">
        <v>439</v>
      </c>
      <c r="C11" s="16" t="s">
        <v>401</v>
      </c>
      <c r="D11" s="212"/>
      <c r="E11" s="145" t="s">
        <v>401</v>
      </c>
      <c r="F11" s="212"/>
      <c r="G11" s="145" t="s">
        <v>401</v>
      </c>
      <c r="H11" s="145"/>
      <c r="I11" s="145" t="s">
        <v>401</v>
      </c>
      <c r="J11" s="145"/>
      <c r="K11" s="145" t="s">
        <v>401</v>
      </c>
      <c r="L11" s="145"/>
      <c r="M11" s="145" t="s">
        <v>401</v>
      </c>
      <c r="N11" s="145"/>
      <c r="O11" s="145" t="s">
        <v>401</v>
      </c>
      <c r="P11" s="145"/>
      <c r="Q11" s="145" t="s">
        <v>401</v>
      </c>
      <c r="R11" s="212">
        <f t="shared" si="4"/>
        <v>0</v>
      </c>
      <c r="S11" s="145" t="s">
        <v>401</v>
      </c>
      <c r="T11" s="145"/>
      <c r="U11" s="145" t="s">
        <v>401</v>
      </c>
      <c r="V11" s="145"/>
      <c r="W11" s="145" t="s">
        <v>440</v>
      </c>
      <c r="X11" s="145"/>
      <c r="Y11" s="145" t="s">
        <v>441</v>
      </c>
      <c r="Z11" s="145">
        <f t="shared" si="5"/>
        <v>0</v>
      </c>
      <c r="AA11" s="145" t="s">
        <v>401</v>
      </c>
      <c r="AB11" s="212">
        <f t="shared" si="2"/>
        <v>0</v>
      </c>
      <c r="AC11" s="145" t="s">
        <v>401</v>
      </c>
      <c r="AD11" s="256" t="s">
        <v>401</v>
      </c>
    </row>
    <row r="12" spans="1:30" x14ac:dyDescent="0.2">
      <c r="A12" s="88">
        <f t="shared" si="3"/>
        <v>9</v>
      </c>
      <c r="B12" s="52" t="s">
        <v>442</v>
      </c>
      <c r="C12" s="16" t="s">
        <v>443</v>
      </c>
      <c r="D12" s="212"/>
      <c r="E12" s="145" t="s">
        <v>444</v>
      </c>
      <c r="F12" s="212"/>
      <c r="G12" s="145" t="s">
        <v>401</v>
      </c>
      <c r="H12" s="145"/>
      <c r="I12" s="145" t="s">
        <v>401</v>
      </c>
      <c r="J12" s="145"/>
      <c r="K12" s="145" t="s">
        <v>445</v>
      </c>
      <c r="L12" s="145"/>
      <c r="M12" s="145" t="s">
        <v>401</v>
      </c>
      <c r="N12" s="145"/>
      <c r="O12" s="145" t="s">
        <v>446</v>
      </c>
      <c r="P12" s="145"/>
      <c r="Q12" s="145" t="s">
        <v>447</v>
      </c>
      <c r="R12" s="212">
        <f t="shared" si="4"/>
        <v>0</v>
      </c>
      <c r="S12" s="145" t="s">
        <v>401</v>
      </c>
      <c r="T12" s="145"/>
      <c r="U12" s="145" t="s">
        <v>401</v>
      </c>
      <c r="V12" s="145"/>
      <c r="W12" s="145" t="s">
        <v>401</v>
      </c>
      <c r="X12" s="145"/>
      <c r="Y12" s="145" t="s">
        <v>401</v>
      </c>
      <c r="Z12" s="145">
        <f t="shared" si="5"/>
        <v>0</v>
      </c>
      <c r="AA12" s="145" t="s">
        <v>401</v>
      </c>
      <c r="AB12" s="212">
        <f t="shared" si="2"/>
        <v>0</v>
      </c>
      <c r="AC12" s="145" t="s">
        <v>401</v>
      </c>
      <c r="AD12" s="256" t="s">
        <v>401</v>
      </c>
    </row>
    <row r="13" spans="1:30" x14ac:dyDescent="0.2">
      <c r="A13" s="88">
        <f t="shared" si="3"/>
        <v>10</v>
      </c>
      <c r="B13" s="52" t="s">
        <v>448</v>
      </c>
      <c r="C13" s="16" t="s">
        <v>401</v>
      </c>
      <c r="D13" s="212"/>
      <c r="E13" s="145" t="s">
        <v>401</v>
      </c>
      <c r="F13" s="212"/>
      <c r="G13" s="145" t="s">
        <v>401</v>
      </c>
      <c r="H13" s="145"/>
      <c r="I13" s="145" t="s">
        <v>401</v>
      </c>
      <c r="J13" s="145"/>
      <c r="K13" s="145" t="s">
        <v>401</v>
      </c>
      <c r="L13" s="145"/>
      <c r="M13" s="145" t="s">
        <v>401</v>
      </c>
      <c r="N13" s="145"/>
      <c r="O13" s="145" t="s">
        <v>401</v>
      </c>
      <c r="P13" s="145"/>
      <c r="Q13" s="145" t="s">
        <v>401</v>
      </c>
      <c r="R13" s="212">
        <f t="shared" si="4"/>
        <v>0</v>
      </c>
      <c r="S13" s="145" t="s">
        <v>449</v>
      </c>
      <c r="T13" s="212">
        <v>123387</v>
      </c>
      <c r="U13" s="145" t="s">
        <v>401</v>
      </c>
      <c r="V13" s="145"/>
      <c r="W13" s="145" t="s">
        <v>401</v>
      </c>
      <c r="X13" s="145"/>
      <c r="Y13" s="145" t="s">
        <v>450</v>
      </c>
      <c r="Z13" s="145">
        <f t="shared" si="5"/>
        <v>123387</v>
      </c>
      <c r="AA13" s="145" t="s">
        <v>401</v>
      </c>
      <c r="AB13" s="212">
        <f t="shared" si="2"/>
        <v>-123387</v>
      </c>
      <c r="AC13" s="145" t="s">
        <v>451</v>
      </c>
      <c r="AD13" s="256"/>
    </row>
    <row r="14" spans="1:30" ht="19.5" x14ac:dyDescent="0.2">
      <c r="A14" s="88">
        <f t="shared" si="3"/>
        <v>11</v>
      </c>
      <c r="B14" s="33" t="s">
        <v>452</v>
      </c>
      <c r="C14" s="16" t="s">
        <v>401</v>
      </c>
      <c r="D14" s="212"/>
      <c r="E14" s="145" t="s">
        <v>401</v>
      </c>
      <c r="F14" s="212"/>
      <c r="G14" s="145" t="s">
        <v>401</v>
      </c>
      <c r="H14" s="145"/>
      <c r="I14" s="145" t="s">
        <v>401</v>
      </c>
      <c r="J14" s="145"/>
      <c r="K14" s="145" t="s">
        <v>401</v>
      </c>
      <c r="L14" s="145"/>
      <c r="M14" s="145" t="s">
        <v>401</v>
      </c>
      <c r="N14" s="145"/>
      <c r="O14" s="145" t="s">
        <v>401</v>
      </c>
      <c r="P14" s="145"/>
      <c r="Q14" s="145" t="s">
        <v>401</v>
      </c>
      <c r="R14" s="212">
        <f t="shared" si="4"/>
        <v>0</v>
      </c>
      <c r="S14" s="145" t="s">
        <v>401</v>
      </c>
      <c r="T14" s="145"/>
      <c r="U14" s="145" t="s">
        <v>453</v>
      </c>
      <c r="V14" s="145"/>
      <c r="W14" s="145" t="s">
        <v>401</v>
      </c>
      <c r="X14" s="145"/>
      <c r="Y14" s="145" t="s">
        <v>454</v>
      </c>
      <c r="Z14" s="145">
        <f t="shared" si="5"/>
        <v>0</v>
      </c>
      <c r="AA14" s="145" t="s">
        <v>401</v>
      </c>
      <c r="AB14" s="212">
        <f t="shared" si="2"/>
        <v>0</v>
      </c>
      <c r="AC14" s="145" t="s">
        <v>401</v>
      </c>
      <c r="AD14" s="256" t="s">
        <v>401</v>
      </c>
    </row>
    <row r="15" spans="1:30" ht="19.5" x14ac:dyDescent="0.2">
      <c r="A15" s="88">
        <f t="shared" si="3"/>
        <v>12</v>
      </c>
      <c r="B15" s="33" t="s">
        <v>455</v>
      </c>
      <c r="C15" s="16" t="s">
        <v>401</v>
      </c>
      <c r="D15" s="212"/>
      <c r="E15" s="145" t="s">
        <v>401</v>
      </c>
      <c r="F15" s="212"/>
      <c r="G15" s="145" t="s">
        <v>401</v>
      </c>
      <c r="H15" s="145"/>
      <c r="I15" s="145" t="s">
        <v>401</v>
      </c>
      <c r="J15" s="145"/>
      <c r="K15" s="145" t="s">
        <v>401</v>
      </c>
      <c r="L15" s="145"/>
      <c r="M15" s="145" t="s">
        <v>401</v>
      </c>
      <c r="N15" s="145"/>
      <c r="O15" s="145" t="s">
        <v>401</v>
      </c>
      <c r="P15" s="145"/>
      <c r="Q15" s="145" t="s">
        <v>401</v>
      </c>
      <c r="R15" s="212">
        <f t="shared" si="4"/>
        <v>0</v>
      </c>
      <c r="S15" s="145" t="s">
        <v>401</v>
      </c>
      <c r="T15" s="145"/>
      <c r="U15" s="145" t="s">
        <v>456</v>
      </c>
      <c r="V15" s="145"/>
      <c r="W15" s="145" t="s">
        <v>401</v>
      </c>
      <c r="X15" s="145"/>
      <c r="Y15" s="145" t="s">
        <v>457</v>
      </c>
      <c r="Z15" s="145">
        <f t="shared" si="5"/>
        <v>0</v>
      </c>
      <c r="AA15" s="145" t="s">
        <v>401</v>
      </c>
      <c r="AB15" s="212">
        <f t="shared" si="2"/>
        <v>0</v>
      </c>
      <c r="AC15" s="145" t="s">
        <v>401</v>
      </c>
      <c r="AD15" s="256" t="s">
        <v>401</v>
      </c>
    </row>
    <row r="16" spans="1:30" ht="19.5" x14ac:dyDescent="0.2">
      <c r="A16" s="88">
        <f t="shared" si="3"/>
        <v>13</v>
      </c>
      <c r="B16" s="33" t="s">
        <v>458</v>
      </c>
      <c r="C16" s="16" t="s">
        <v>459</v>
      </c>
      <c r="D16" s="212"/>
      <c r="E16" s="145" t="s">
        <v>460</v>
      </c>
      <c r="F16" s="212"/>
      <c r="G16" s="145" t="s">
        <v>461</v>
      </c>
      <c r="H16" s="145"/>
      <c r="I16" s="145" t="s">
        <v>462</v>
      </c>
      <c r="J16" s="145"/>
      <c r="K16" s="145" t="s">
        <v>463</v>
      </c>
      <c r="L16" s="145"/>
      <c r="M16" s="145" t="s">
        <v>464</v>
      </c>
      <c r="N16" s="145"/>
      <c r="O16" s="145" t="s">
        <v>465</v>
      </c>
      <c r="P16" s="145"/>
      <c r="Q16" s="145" t="s">
        <v>466</v>
      </c>
      <c r="R16" s="212">
        <f t="shared" si="4"/>
        <v>0</v>
      </c>
      <c r="S16" s="145" t="s">
        <v>467</v>
      </c>
      <c r="T16" s="145"/>
      <c r="U16" s="145" t="s">
        <v>468</v>
      </c>
      <c r="V16" s="145"/>
      <c r="W16" s="145" t="s">
        <v>469</v>
      </c>
      <c r="X16" s="145"/>
      <c r="Y16" s="145" t="s">
        <v>470</v>
      </c>
      <c r="Z16" s="145">
        <f t="shared" si="5"/>
        <v>0</v>
      </c>
      <c r="AA16" s="145" t="s">
        <v>401</v>
      </c>
      <c r="AB16" s="212">
        <f t="shared" si="2"/>
        <v>0</v>
      </c>
      <c r="AC16" s="145" t="s">
        <v>471</v>
      </c>
      <c r="AD16" s="256"/>
    </row>
    <row r="17" spans="1:30" ht="19.5" x14ac:dyDescent="0.2">
      <c r="A17" s="88">
        <f t="shared" si="3"/>
        <v>14</v>
      </c>
      <c r="B17" s="33" t="s">
        <v>472</v>
      </c>
      <c r="C17" s="16" t="s">
        <v>473</v>
      </c>
      <c r="D17" s="212"/>
      <c r="E17" s="145" t="s">
        <v>474</v>
      </c>
      <c r="F17" s="212"/>
      <c r="G17" s="145" t="s">
        <v>475</v>
      </c>
      <c r="H17" s="145"/>
      <c r="I17" s="145" t="s">
        <v>476</v>
      </c>
      <c r="J17" s="145"/>
      <c r="K17" s="145" t="s">
        <v>477</v>
      </c>
      <c r="L17" s="145"/>
      <c r="M17" s="145" t="s">
        <v>478</v>
      </c>
      <c r="N17" s="145"/>
      <c r="O17" s="145" t="s">
        <v>479</v>
      </c>
      <c r="P17" s="145"/>
      <c r="Q17" s="145" t="s">
        <v>480</v>
      </c>
      <c r="R17" s="212">
        <f t="shared" si="4"/>
        <v>0</v>
      </c>
      <c r="S17" s="145" t="s">
        <v>481</v>
      </c>
      <c r="T17" s="212">
        <v>123387</v>
      </c>
      <c r="U17" s="145" t="s">
        <v>482</v>
      </c>
      <c r="V17" s="145"/>
      <c r="W17" s="145" t="s">
        <v>483</v>
      </c>
      <c r="X17" s="145"/>
      <c r="Y17" s="145" t="s">
        <v>484</v>
      </c>
      <c r="Z17" s="145">
        <f t="shared" si="5"/>
        <v>123387</v>
      </c>
      <c r="AA17" s="145" t="s">
        <v>401</v>
      </c>
      <c r="AB17" s="212">
        <f t="shared" si="2"/>
        <v>-123387</v>
      </c>
      <c r="AC17" s="145" t="s">
        <v>485</v>
      </c>
      <c r="AD17" s="256"/>
    </row>
    <row r="18" spans="1:30" x14ac:dyDescent="0.2">
      <c r="A18" s="88">
        <f t="shared" si="3"/>
        <v>15</v>
      </c>
      <c r="B18" s="33" t="s">
        <v>486</v>
      </c>
      <c r="C18" s="16" t="s">
        <v>401</v>
      </c>
      <c r="D18" s="212"/>
      <c r="E18" s="145" t="s">
        <v>401</v>
      </c>
      <c r="F18" s="212"/>
      <c r="G18" s="145" t="s">
        <v>401</v>
      </c>
      <c r="H18" s="145"/>
      <c r="I18" s="145" t="s">
        <v>401</v>
      </c>
      <c r="J18" s="145"/>
      <c r="K18" s="145" t="s">
        <v>401</v>
      </c>
      <c r="L18" s="145"/>
      <c r="M18" s="145" t="s">
        <v>401</v>
      </c>
      <c r="N18" s="145"/>
      <c r="O18" s="145" t="s">
        <v>487</v>
      </c>
      <c r="P18" s="145"/>
      <c r="Q18" s="145" t="s">
        <v>488</v>
      </c>
      <c r="R18" s="212">
        <f t="shared" si="4"/>
        <v>0</v>
      </c>
      <c r="S18" s="145" t="s">
        <v>401</v>
      </c>
      <c r="T18" s="145"/>
      <c r="U18" s="145" t="s">
        <v>401</v>
      </c>
      <c r="V18" s="145"/>
      <c r="W18" s="145" t="s">
        <v>401</v>
      </c>
      <c r="X18" s="145"/>
      <c r="Y18" s="145" t="s">
        <v>401</v>
      </c>
      <c r="Z18" s="145">
        <f t="shared" si="5"/>
        <v>0</v>
      </c>
      <c r="AA18" s="145" t="s">
        <v>401</v>
      </c>
      <c r="AB18" s="212">
        <f t="shared" si="2"/>
        <v>0</v>
      </c>
      <c r="AC18" s="145" t="s">
        <v>401</v>
      </c>
      <c r="AD18" s="256" t="s">
        <v>401</v>
      </c>
    </row>
    <row r="19" spans="1:30" ht="19.5" x14ac:dyDescent="0.2">
      <c r="A19" s="88">
        <f t="shared" si="3"/>
        <v>16</v>
      </c>
      <c r="B19" s="33" t="s">
        <v>489</v>
      </c>
      <c r="C19" s="16" t="s">
        <v>401</v>
      </c>
      <c r="D19" s="212"/>
      <c r="E19" s="145" t="s">
        <v>401</v>
      </c>
      <c r="F19" s="212"/>
      <c r="G19" s="145" t="s">
        <v>401</v>
      </c>
      <c r="H19" s="145"/>
      <c r="I19" s="145" t="s">
        <v>401</v>
      </c>
      <c r="J19" s="145"/>
      <c r="K19" s="145" t="s">
        <v>401</v>
      </c>
      <c r="L19" s="145"/>
      <c r="M19" s="145" t="s">
        <v>401</v>
      </c>
      <c r="N19" s="145"/>
      <c r="O19" s="145" t="s">
        <v>490</v>
      </c>
      <c r="P19" s="145"/>
      <c r="Q19" s="145" t="s">
        <v>491</v>
      </c>
      <c r="R19" s="212">
        <f t="shared" si="4"/>
        <v>0</v>
      </c>
      <c r="S19" s="145" t="s">
        <v>401</v>
      </c>
      <c r="T19" s="145"/>
      <c r="U19" s="145" t="s">
        <v>401</v>
      </c>
      <c r="V19" s="145"/>
      <c r="W19" s="145" t="s">
        <v>401</v>
      </c>
      <c r="X19" s="145"/>
      <c r="Y19" s="145" t="s">
        <v>401</v>
      </c>
      <c r="Z19" s="145">
        <f t="shared" si="5"/>
        <v>0</v>
      </c>
      <c r="AA19" s="145" t="s">
        <v>401</v>
      </c>
      <c r="AB19" s="212">
        <f t="shared" si="2"/>
        <v>0</v>
      </c>
      <c r="AC19" s="145" t="s">
        <v>401</v>
      </c>
      <c r="AD19" s="256" t="s">
        <v>401</v>
      </c>
    </row>
    <row r="20" spans="1:30" x14ac:dyDescent="0.2">
      <c r="A20" s="88">
        <f t="shared" si="3"/>
        <v>17</v>
      </c>
      <c r="B20" s="52" t="s">
        <v>492</v>
      </c>
      <c r="C20" s="16" t="s">
        <v>493</v>
      </c>
      <c r="D20" s="212"/>
      <c r="E20" s="145" t="s">
        <v>494</v>
      </c>
      <c r="F20" s="212"/>
      <c r="G20" s="145" t="s">
        <v>495</v>
      </c>
      <c r="H20" s="145"/>
      <c r="I20" s="145" t="s">
        <v>496</v>
      </c>
      <c r="J20" s="145"/>
      <c r="K20" s="145" t="s">
        <v>497</v>
      </c>
      <c r="L20" s="145"/>
      <c r="M20" s="145" t="s">
        <v>498</v>
      </c>
      <c r="N20" s="257"/>
      <c r="O20" s="145" t="s">
        <v>499</v>
      </c>
      <c r="P20" s="145"/>
      <c r="Q20" s="145" t="s">
        <v>500</v>
      </c>
      <c r="R20" s="212">
        <f t="shared" si="4"/>
        <v>0</v>
      </c>
      <c r="S20" s="145" t="s">
        <v>501</v>
      </c>
      <c r="T20" s="145"/>
      <c r="U20" s="145" t="s">
        <v>502</v>
      </c>
      <c r="V20" s="145"/>
      <c r="W20" s="145" t="s">
        <v>503</v>
      </c>
      <c r="X20" s="145"/>
      <c r="Y20" s="145" t="s">
        <v>504</v>
      </c>
      <c r="Z20" s="145">
        <f t="shared" si="5"/>
        <v>0</v>
      </c>
      <c r="AA20" s="145" t="s">
        <v>401</v>
      </c>
      <c r="AB20" s="212">
        <f t="shared" si="2"/>
        <v>0</v>
      </c>
      <c r="AC20" s="145" t="s">
        <v>505</v>
      </c>
      <c r="AD20" s="256"/>
    </row>
    <row r="21" spans="1:30" x14ac:dyDescent="0.2">
      <c r="A21" s="88">
        <f t="shared" si="3"/>
        <v>18</v>
      </c>
      <c r="B21" s="52" t="s">
        <v>506</v>
      </c>
      <c r="C21" s="16" t="s">
        <v>507</v>
      </c>
      <c r="D21" s="212"/>
      <c r="E21" s="145" t="s">
        <v>508</v>
      </c>
      <c r="F21" s="212"/>
      <c r="G21" s="145" t="s">
        <v>509</v>
      </c>
      <c r="H21" s="145"/>
      <c r="I21" s="145" t="s">
        <v>510</v>
      </c>
      <c r="J21" s="145"/>
      <c r="K21" s="145" t="s">
        <v>511</v>
      </c>
      <c r="L21" s="145"/>
      <c r="M21" s="145" t="s">
        <v>512</v>
      </c>
      <c r="N21" s="212"/>
      <c r="O21" s="145" t="s">
        <v>513</v>
      </c>
      <c r="P21" s="145"/>
      <c r="Q21" s="145" t="s">
        <v>514</v>
      </c>
      <c r="R21" s="212">
        <f t="shared" si="4"/>
        <v>0</v>
      </c>
      <c r="S21" s="145" t="s">
        <v>515</v>
      </c>
      <c r="T21" s="145"/>
      <c r="U21" s="145" t="s">
        <v>516</v>
      </c>
      <c r="V21" s="145"/>
      <c r="W21" s="145" t="s">
        <v>517</v>
      </c>
      <c r="X21" s="145"/>
      <c r="Y21" s="145" t="s">
        <v>518</v>
      </c>
      <c r="Z21" s="145">
        <f t="shared" si="5"/>
        <v>0</v>
      </c>
      <c r="AA21" s="145" t="s">
        <v>401</v>
      </c>
      <c r="AB21" s="212">
        <f t="shared" si="2"/>
        <v>0</v>
      </c>
      <c r="AC21" s="145" t="s">
        <v>519</v>
      </c>
      <c r="AD21" s="256"/>
    </row>
    <row r="22" spans="1:30" ht="33.75" x14ac:dyDescent="0.2">
      <c r="A22" s="88">
        <f t="shared" si="3"/>
        <v>19</v>
      </c>
      <c r="B22" s="61" t="s">
        <v>520</v>
      </c>
      <c r="C22" s="16" t="s">
        <v>521</v>
      </c>
      <c r="D22" s="212">
        <f>SUM(D8+D9+D11+D12+D13+D14+D16+D20)</f>
        <v>0</v>
      </c>
      <c r="E22" s="145" t="s">
        <v>522</v>
      </c>
      <c r="F22" s="212">
        <f>SUM(F8+F9+F11+F12+F13+F14+F16+F20)</f>
        <v>0</v>
      </c>
      <c r="G22" s="145" t="s">
        <v>523</v>
      </c>
      <c r="H22" s="212">
        <f>SUM(H8+H9+H11+H12+H13+H14+H16+H20)</f>
        <v>0</v>
      </c>
      <c r="I22" s="145" t="s">
        <v>524</v>
      </c>
      <c r="J22" s="212">
        <f>SUM(J8+J9+J11+J12+J13+J14+J16+J20)</f>
        <v>0</v>
      </c>
      <c r="K22" s="145" t="s">
        <v>525</v>
      </c>
      <c r="L22" s="212">
        <f>SUM(L8+L9+L11+L12+L13+L14+L16+L20)</f>
        <v>0</v>
      </c>
      <c r="M22" s="145" t="s">
        <v>526</v>
      </c>
      <c r="N22" s="212">
        <f>SUM(N8+N9+N11+N12+N13+N14+N16+N20)</f>
        <v>16229</v>
      </c>
      <c r="O22" s="145" t="s">
        <v>527</v>
      </c>
      <c r="P22" s="212">
        <f>SUM(P8+P9+P11+P12+P13+P14+P16+P20)</f>
        <v>0</v>
      </c>
      <c r="Q22" s="145" t="s">
        <v>528</v>
      </c>
      <c r="R22" s="212">
        <f>SUM(R8+R9+R11+R12+R13+R14+R16+R20)</f>
        <v>16229</v>
      </c>
      <c r="S22" s="145" t="s">
        <v>529</v>
      </c>
      <c r="T22" s="212">
        <f>SUM(T8+T9+T11+T12+T13+T14+T16+T20)</f>
        <v>123387</v>
      </c>
      <c r="U22" s="145" t="s">
        <v>530</v>
      </c>
      <c r="V22" s="212">
        <f>SUM(V8+V9+V11+V12+V13+V14+V16+V20)</f>
        <v>0</v>
      </c>
      <c r="W22" s="145" t="s">
        <v>531</v>
      </c>
      <c r="X22" s="212">
        <f>SUM(X8+X9+X11+X12+X13+X14+X16+X20)</f>
        <v>3171</v>
      </c>
      <c r="Y22" s="145" t="s">
        <v>532</v>
      </c>
      <c r="Z22" s="212">
        <f>SUM(Z8+Z9+Z11+Z12+Z13+Z14+Z16+Z20)</f>
        <v>126558</v>
      </c>
      <c r="AA22" s="145" t="s">
        <v>401</v>
      </c>
      <c r="AB22" s="212">
        <f>SUM(AB8+AB9+AB11+AB12+AB13+AB14+AB16+AB20)</f>
        <v>-110329</v>
      </c>
      <c r="AC22" s="145" t="s">
        <v>533</v>
      </c>
      <c r="AD22" s="256"/>
    </row>
    <row r="23" spans="1:30" ht="23.25" thickBot="1" x14ac:dyDescent="0.25">
      <c r="A23" s="88">
        <f t="shared" si="3"/>
        <v>20</v>
      </c>
      <c r="B23" s="252" t="s">
        <v>534</v>
      </c>
      <c r="C23" s="250" t="s">
        <v>535</v>
      </c>
      <c r="D23" s="217">
        <f>SUM(D10+D15+D17+D18+D19+D21)</f>
        <v>0</v>
      </c>
      <c r="E23" s="146" t="s">
        <v>536</v>
      </c>
      <c r="F23" s="217">
        <f>SUM(F10+F15+F17+F18+F19+F21)</f>
        <v>0</v>
      </c>
      <c r="G23" s="146" t="s">
        <v>537</v>
      </c>
      <c r="H23" s="217">
        <f>SUM(H10+H15+H17+H18+H19+H21)</f>
        <v>0</v>
      </c>
      <c r="I23" s="146" t="s">
        <v>538</v>
      </c>
      <c r="J23" s="217">
        <f>SUM(J10+J15+J17+J18+J19+J21)</f>
        <v>0</v>
      </c>
      <c r="K23" s="146" t="s">
        <v>539</v>
      </c>
      <c r="L23" s="217">
        <f>SUM(L10+L15+L17+L18+L19+L21)</f>
        <v>0</v>
      </c>
      <c r="M23" s="146" t="s">
        <v>540</v>
      </c>
      <c r="N23" s="217">
        <f>SUM(N10+N15+N17+N18+N19+N21)</f>
        <v>9309</v>
      </c>
      <c r="O23" s="146" t="s">
        <v>541</v>
      </c>
      <c r="P23" s="217">
        <f>SUM(P10+P15+P17+P18+P19+P21)</f>
        <v>0</v>
      </c>
      <c r="Q23" s="146" t="s">
        <v>542</v>
      </c>
      <c r="R23" s="217">
        <f>SUM(R10+R15+R17+R18+R19+R21)</f>
        <v>9309</v>
      </c>
      <c r="S23" s="146" t="s">
        <v>543</v>
      </c>
      <c r="T23" s="217">
        <f>SUM(T10+T15+T17+T18+T19+T21)</f>
        <v>123387</v>
      </c>
      <c r="U23" s="146" t="s">
        <v>544</v>
      </c>
      <c r="V23" s="217">
        <f>SUM(V10+V15+V17+V18+V19+V21)</f>
        <v>0</v>
      </c>
      <c r="W23" s="146" t="s">
        <v>545</v>
      </c>
      <c r="X23" s="217">
        <f>SUM(X10+X15+X17+X18+X19+X21)</f>
        <v>13581</v>
      </c>
      <c r="Y23" s="146" t="s">
        <v>546</v>
      </c>
      <c r="Z23" s="217">
        <f>SUM(Z10+Z15+Z17+Z18+Z19+Z21)</f>
        <v>136968</v>
      </c>
      <c r="AA23" s="146" t="s">
        <v>401</v>
      </c>
      <c r="AB23" s="217">
        <f>SUM(AB10+AB15+AB17+AB18+AB19+AB21)</f>
        <v>-127659</v>
      </c>
      <c r="AC23" s="146" t="s">
        <v>547</v>
      </c>
      <c r="AD23" s="153"/>
    </row>
    <row r="24" spans="1:30" ht="13.5" thickBot="1" x14ac:dyDescent="0.25">
      <c r="A24" s="92"/>
      <c r="B24" s="159"/>
      <c r="C24" s="17"/>
      <c r="D24" s="258"/>
      <c r="E24" s="142"/>
      <c r="F24" s="258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</row>
    <row r="25" spans="1:30" ht="18" x14ac:dyDescent="0.2">
      <c r="A25" s="197">
        <v>21</v>
      </c>
      <c r="B25" s="253" t="s">
        <v>548</v>
      </c>
      <c r="C25" s="251" t="s">
        <v>549</v>
      </c>
      <c r="D25" s="259">
        <f>SUM(D7+D22-D23)</f>
        <v>764802</v>
      </c>
      <c r="E25" s="144" t="s">
        <v>550</v>
      </c>
      <c r="F25" s="259">
        <f>SUM(F7+F22-F23)</f>
        <v>3444</v>
      </c>
      <c r="G25" s="144" t="s">
        <v>551</v>
      </c>
      <c r="H25" s="260">
        <f>SUM(H7+H22-H23)</f>
        <v>0</v>
      </c>
      <c r="I25" s="144" t="s">
        <v>552</v>
      </c>
      <c r="J25" s="259">
        <f>SUM(J7+J22-J23)</f>
        <v>57996</v>
      </c>
      <c r="K25" s="144" t="s">
        <v>553</v>
      </c>
      <c r="L25" s="259">
        <f>SUM(L7+L22-L23)</f>
        <v>153760</v>
      </c>
      <c r="M25" s="144" t="s">
        <v>554</v>
      </c>
      <c r="N25" s="259">
        <f>SUM(N7+N22-N23)</f>
        <v>13789</v>
      </c>
      <c r="O25" s="144" t="s">
        <v>555</v>
      </c>
      <c r="P25" s="259">
        <f>SUM(P7+P22-P23)</f>
        <v>363463</v>
      </c>
      <c r="Q25" s="144" t="s">
        <v>556</v>
      </c>
      <c r="R25" s="259">
        <f>SUM(R7+R22-R23)</f>
        <v>1357254</v>
      </c>
      <c r="S25" s="144" t="s">
        <v>557</v>
      </c>
      <c r="T25" s="260">
        <f>SUM(T7+T22-T23)</f>
        <v>0</v>
      </c>
      <c r="U25" s="144" t="s">
        <v>558</v>
      </c>
      <c r="V25" s="260">
        <f>SUM(V7+V22-V23)</f>
        <v>0</v>
      </c>
      <c r="W25" s="144" t="s">
        <v>559</v>
      </c>
      <c r="X25" s="259">
        <f>SUM(X7+X22-X23)</f>
        <v>825</v>
      </c>
      <c r="Y25" s="144" t="s">
        <v>560</v>
      </c>
      <c r="Z25" s="259">
        <f>SUM(Z7+Z22-Z23)</f>
        <v>825</v>
      </c>
      <c r="AA25" s="144" t="s">
        <v>561</v>
      </c>
      <c r="AB25" s="259">
        <f>SUM(AB7+AB22-AB23)</f>
        <v>1356429</v>
      </c>
      <c r="AC25" s="144" t="s">
        <v>562</v>
      </c>
      <c r="AD25" s="261"/>
    </row>
    <row r="26" spans="1:30" x14ac:dyDescent="0.2">
      <c r="A26" s="88">
        <f>1+A25</f>
        <v>22</v>
      </c>
      <c r="B26" s="254" t="s">
        <v>563</v>
      </c>
      <c r="C26" s="16" t="s">
        <v>564</v>
      </c>
      <c r="D26" s="212">
        <f>SUM(D25)</f>
        <v>764802</v>
      </c>
      <c r="E26" s="145" t="s">
        <v>565</v>
      </c>
      <c r="F26" s="212">
        <f>SUM(F25)</f>
        <v>3444</v>
      </c>
      <c r="G26" s="145" t="s">
        <v>566</v>
      </c>
      <c r="H26" s="145"/>
      <c r="I26" s="145" t="s">
        <v>567</v>
      </c>
      <c r="J26" s="212">
        <f>SUM(J25)</f>
        <v>57996</v>
      </c>
      <c r="K26" s="145" t="s">
        <v>568</v>
      </c>
      <c r="L26" s="212">
        <f>SUM(L25)</f>
        <v>153760</v>
      </c>
      <c r="M26" s="145" t="s">
        <v>569</v>
      </c>
      <c r="N26" s="212">
        <f>SUM(N25)</f>
        <v>13789</v>
      </c>
      <c r="O26" s="145" t="s">
        <v>570</v>
      </c>
      <c r="P26" s="212">
        <f>SUM(P25)</f>
        <v>363463</v>
      </c>
      <c r="Q26" s="145" t="s">
        <v>571</v>
      </c>
      <c r="R26" s="212">
        <f>SUM(R25)</f>
        <v>1357254</v>
      </c>
      <c r="S26" s="145" t="s">
        <v>572</v>
      </c>
      <c r="T26" s="212">
        <f>SUM(T25)</f>
        <v>0</v>
      </c>
      <c r="U26" s="145" t="s">
        <v>573</v>
      </c>
      <c r="V26" s="145"/>
      <c r="W26" s="145" t="s">
        <v>574</v>
      </c>
      <c r="X26" s="212">
        <f>SUM(X25)</f>
        <v>825</v>
      </c>
      <c r="Y26" s="145" t="s">
        <v>575</v>
      </c>
      <c r="Z26" s="212">
        <f>SUM(Z25)</f>
        <v>825</v>
      </c>
      <c r="AA26" s="145" t="s">
        <v>576</v>
      </c>
      <c r="AB26" s="212">
        <f>SUM(AB25)</f>
        <v>1356429</v>
      </c>
      <c r="AC26" s="145" t="s">
        <v>577</v>
      </c>
      <c r="AD26" s="256"/>
    </row>
    <row r="27" spans="1:30" ht="19.5" x14ac:dyDescent="0.2">
      <c r="A27" s="88">
        <f>1+A26</f>
        <v>23</v>
      </c>
      <c r="B27" s="33" t="s">
        <v>578</v>
      </c>
      <c r="C27" s="16" t="s">
        <v>579</v>
      </c>
      <c r="D27" s="212"/>
      <c r="E27" s="145" t="s">
        <v>580</v>
      </c>
      <c r="F27" s="212"/>
      <c r="G27" s="145" t="s">
        <v>581</v>
      </c>
      <c r="H27" s="145"/>
      <c r="I27" s="145" t="s">
        <v>582</v>
      </c>
      <c r="J27" s="145"/>
      <c r="K27" s="145" t="s">
        <v>583</v>
      </c>
      <c r="L27" s="145"/>
      <c r="M27" s="145" t="s">
        <v>584</v>
      </c>
      <c r="N27" s="145"/>
      <c r="O27" s="145" t="s">
        <v>585</v>
      </c>
      <c r="P27" s="145"/>
      <c r="Q27" s="145" t="s">
        <v>586</v>
      </c>
      <c r="R27" s="212">
        <f t="shared" ref="R27:R43" si="6">SUM(D27+F27+H27+J27+L27+N27+P27)</f>
        <v>0</v>
      </c>
      <c r="S27" s="145" t="s">
        <v>587</v>
      </c>
      <c r="T27" s="145"/>
      <c r="U27" s="145" t="s">
        <v>588</v>
      </c>
      <c r="V27" s="145"/>
      <c r="W27" s="145" t="s">
        <v>589</v>
      </c>
      <c r="X27" s="145"/>
      <c r="Y27" s="145" t="s">
        <v>590</v>
      </c>
      <c r="Z27" s="145">
        <f t="shared" ref="Z27:Z43" si="7">SUM(T27+V27+X27)</f>
        <v>0</v>
      </c>
      <c r="AA27" s="145" t="s">
        <v>401</v>
      </c>
      <c r="AB27" s="212">
        <f t="shared" ref="AB27:AB46" si="8">SUM(R27-Z27)</f>
        <v>0</v>
      </c>
      <c r="AC27" s="145" t="s">
        <v>591</v>
      </c>
      <c r="AD27" s="256"/>
    </row>
    <row r="28" spans="1:30" ht="19.5" x14ac:dyDescent="0.2">
      <c r="A28" s="88">
        <f t="shared" ref="A28:A46" si="9">1+A27</f>
        <v>24</v>
      </c>
      <c r="B28" s="33" t="s">
        <v>592</v>
      </c>
      <c r="C28" s="16" t="s">
        <v>593</v>
      </c>
      <c r="D28" s="212"/>
      <c r="E28" s="145" t="s">
        <v>594</v>
      </c>
      <c r="F28" s="212"/>
      <c r="G28" s="145" t="s">
        <v>595</v>
      </c>
      <c r="H28" s="145"/>
      <c r="I28" s="145" t="s">
        <v>596</v>
      </c>
      <c r="J28" s="145"/>
      <c r="K28" s="145" t="s">
        <v>597</v>
      </c>
      <c r="L28" s="145"/>
      <c r="M28" s="145" t="s">
        <v>598</v>
      </c>
      <c r="N28" s="145"/>
      <c r="O28" s="145" t="s">
        <v>599</v>
      </c>
      <c r="P28" s="145"/>
      <c r="Q28" s="145" t="s">
        <v>600</v>
      </c>
      <c r="R28" s="212">
        <f t="shared" si="6"/>
        <v>0</v>
      </c>
      <c r="S28" s="145" t="s">
        <v>601</v>
      </c>
      <c r="T28" s="145"/>
      <c r="U28" s="145" t="s">
        <v>602</v>
      </c>
      <c r="V28" s="145"/>
      <c r="W28" s="145" t="s">
        <v>603</v>
      </c>
      <c r="X28" s="145"/>
      <c r="Y28" s="145" t="s">
        <v>604</v>
      </c>
      <c r="Z28" s="145">
        <f t="shared" si="7"/>
        <v>0</v>
      </c>
      <c r="AA28" s="145" t="s">
        <v>401</v>
      </c>
      <c r="AB28" s="212">
        <f t="shared" si="8"/>
        <v>0</v>
      </c>
      <c r="AC28" s="145" t="s">
        <v>605</v>
      </c>
      <c r="AD28" s="256"/>
    </row>
    <row r="29" spans="1:30" ht="19.5" x14ac:dyDescent="0.2">
      <c r="A29" s="88">
        <f t="shared" si="9"/>
        <v>25</v>
      </c>
      <c r="B29" s="255" t="s">
        <v>606</v>
      </c>
      <c r="C29" s="16" t="s">
        <v>607</v>
      </c>
      <c r="D29" s="212">
        <f>SUM(D26+D27-D28)</f>
        <v>764802</v>
      </c>
      <c r="E29" s="145" t="s">
        <v>608</v>
      </c>
      <c r="F29" s="212">
        <f>SUM(F26+F27-F28)</f>
        <v>3444</v>
      </c>
      <c r="G29" s="145" t="s">
        <v>609</v>
      </c>
      <c r="H29" s="212">
        <f>SUM(H26+H27-H28)</f>
        <v>0</v>
      </c>
      <c r="I29" s="145" t="s">
        <v>610</v>
      </c>
      <c r="J29" s="212">
        <f>SUM(J26+J27-J28)</f>
        <v>57996</v>
      </c>
      <c r="K29" s="145" t="s">
        <v>611</v>
      </c>
      <c r="L29" s="212">
        <f>SUM(L26+L27-L28)</f>
        <v>153760</v>
      </c>
      <c r="M29" s="145" t="s">
        <v>612</v>
      </c>
      <c r="N29" s="212">
        <f>SUM(N26+N27-N28)</f>
        <v>13789</v>
      </c>
      <c r="O29" s="145" t="s">
        <v>613</v>
      </c>
      <c r="P29" s="212">
        <f>SUM(P26+P27-P28)</f>
        <v>363463</v>
      </c>
      <c r="Q29" s="145" t="s">
        <v>614</v>
      </c>
      <c r="R29" s="212">
        <f>SUM(R26+R27-R28)</f>
        <v>1357254</v>
      </c>
      <c r="S29" s="145" t="s">
        <v>615</v>
      </c>
      <c r="T29" s="212">
        <f>SUM(T26+T27-T28)</f>
        <v>0</v>
      </c>
      <c r="U29" s="145" t="s">
        <v>616</v>
      </c>
      <c r="V29" s="145"/>
      <c r="W29" s="145" t="s">
        <v>617</v>
      </c>
      <c r="X29" s="212">
        <f>SUM(X26+X27-X28)</f>
        <v>825</v>
      </c>
      <c r="Y29" s="145" t="s">
        <v>618</v>
      </c>
      <c r="Z29" s="212">
        <f>SUM(Z26+Z27-Z28)</f>
        <v>825</v>
      </c>
      <c r="AA29" s="145" t="s">
        <v>619</v>
      </c>
      <c r="AB29" s="212">
        <f>SUM(AB26+AB27-AB28)</f>
        <v>1356429</v>
      </c>
      <c r="AC29" s="145" t="s">
        <v>620</v>
      </c>
      <c r="AD29" s="256"/>
    </row>
    <row r="30" spans="1:30" x14ac:dyDescent="0.2">
      <c r="A30" s="88">
        <f t="shared" si="9"/>
        <v>26</v>
      </c>
      <c r="B30" s="52" t="s">
        <v>621</v>
      </c>
      <c r="C30" s="16" t="s">
        <v>622</v>
      </c>
      <c r="D30" s="212"/>
      <c r="E30" s="145" t="s">
        <v>401</v>
      </c>
      <c r="F30" s="212"/>
      <c r="G30" s="145" t="s">
        <v>623</v>
      </c>
      <c r="H30" s="145"/>
      <c r="I30" s="145" t="s">
        <v>624</v>
      </c>
      <c r="J30" s="145"/>
      <c r="K30" s="145" t="s">
        <v>401</v>
      </c>
      <c r="L30" s="145"/>
      <c r="M30" s="145" t="s">
        <v>401</v>
      </c>
      <c r="N30" s="145"/>
      <c r="O30" s="145" t="s">
        <v>401</v>
      </c>
      <c r="P30" s="145"/>
      <c r="Q30" s="145" t="s">
        <v>625</v>
      </c>
      <c r="R30" s="212">
        <f t="shared" si="6"/>
        <v>0</v>
      </c>
      <c r="S30" s="145" t="s">
        <v>401</v>
      </c>
      <c r="T30" s="145"/>
      <c r="U30" s="145" t="s">
        <v>401</v>
      </c>
      <c r="V30" s="145"/>
      <c r="W30" s="145" t="s">
        <v>401</v>
      </c>
      <c r="X30" s="145"/>
      <c r="Y30" s="145" t="s">
        <v>401</v>
      </c>
      <c r="Z30" s="145">
        <f t="shared" si="7"/>
        <v>0</v>
      </c>
      <c r="AA30" s="145" t="s">
        <v>401</v>
      </c>
      <c r="AB30" s="212">
        <f t="shared" si="8"/>
        <v>0</v>
      </c>
      <c r="AC30" s="145" t="s">
        <v>401</v>
      </c>
      <c r="AD30" s="256" t="s">
        <v>401</v>
      </c>
    </row>
    <row r="31" spans="1:30" ht="19.5" x14ac:dyDescent="0.2">
      <c r="A31" s="88">
        <f t="shared" si="9"/>
        <v>27</v>
      </c>
      <c r="B31" s="33" t="s">
        <v>626</v>
      </c>
      <c r="C31" s="16" t="s">
        <v>401</v>
      </c>
      <c r="D31" s="212"/>
      <c r="E31" s="145" t="s">
        <v>401</v>
      </c>
      <c r="F31" s="212"/>
      <c r="G31" s="145" t="s">
        <v>401</v>
      </c>
      <c r="H31" s="145"/>
      <c r="I31" s="145" t="s">
        <v>401</v>
      </c>
      <c r="J31" s="145"/>
      <c r="K31" s="145" t="s">
        <v>401</v>
      </c>
      <c r="L31" s="145"/>
      <c r="M31" s="145" t="s">
        <v>627</v>
      </c>
      <c r="N31" s="212">
        <f>15169+36805-3442-10348</f>
        <v>38184</v>
      </c>
      <c r="O31" s="145" t="s">
        <v>401</v>
      </c>
      <c r="P31" s="145"/>
      <c r="Q31" s="145" t="s">
        <v>628</v>
      </c>
      <c r="R31" s="212">
        <f t="shared" si="6"/>
        <v>38184</v>
      </c>
      <c r="S31" s="145" t="s">
        <v>401</v>
      </c>
      <c r="T31" s="145"/>
      <c r="U31" s="145" t="s">
        <v>401</v>
      </c>
      <c r="V31" s="145"/>
      <c r="W31" s="145" t="s">
        <v>401</v>
      </c>
      <c r="X31" s="145"/>
      <c r="Y31" s="145" t="s">
        <v>401</v>
      </c>
      <c r="Z31" s="145">
        <f t="shared" si="7"/>
        <v>0</v>
      </c>
      <c r="AA31" s="145" t="s">
        <v>401</v>
      </c>
      <c r="AB31" s="212">
        <f t="shared" si="8"/>
        <v>38184</v>
      </c>
      <c r="AC31" s="145" t="s">
        <v>401</v>
      </c>
      <c r="AD31" s="256" t="s">
        <v>401</v>
      </c>
    </row>
    <row r="32" spans="1:30" x14ac:dyDescent="0.2">
      <c r="A32" s="88">
        <f t="shared" si="9"/>
        <v>28</v>
      </c>
      <c r="B32" s="33" t="s">
        <v>436</v>
      </c>
      <c r="C32" s="16" t="s">
        <v>401</v>
      </c>
      <c r="D32" s="212"/>
      <c r="E32" s="145" t="s">
        <v>401</v>
      </c>
      <c r="F32" s="212"/>
      <c r="G32" s="145" t="s">
        <v>401</v>
      </c>
      <c r="H32" s="145"/>
      <c r="I32" s="145" t="s">
        <v>401</v>
      </c>
      <c r="J32" s="145"/>
      <c r="K32" s="145" t="s">
        <v>401</v>
      </c>
      <c r="L32" s="145"/>
      <c r="M32" s="145" t="s">
        <v>629</v>
      </c>
      <c r="N32" s="212">
        <f>308+12483</f>
        <v>12791</v>
      </c>
      <c r="O32" s="145" t="s">
        <v>401</v>
      </c>
      <c r="P32" s="145"/>
      <c r="Q32" s="145" t="s">
        <v>630</v>
      </c>
      <c r="R32" s="212">
        <f t="shared" si="6"/>
        <v>12791</v>
      </c>
      <c r="S32" s="145" t="s">
        <v>401</v>
      </c>
      <c r="T32" s="145"/>
      <c r="U32" s="145" t="s">
        <v>401</v>
      </c>
      <c r="V32" s="145"/>
      <c r="W32" s="145" t="s">
        <v>401</v>
      </c>
      <c r="X32" s="145">
        <v>825</v>
      </c>
      <c r="Y32" s="145" t="s">
        <v>401</v>
      </c>
      <c r="Z32" s="145">
        <f t="shared" si="7"/>
        <v>825</v>
      </c>
      <c r="AA32" s="145" t="s">
        <v>401</v>
      </c>
      <c r="AB32" s="212">
        <f t="shared" si="8"/>
        <v>11966</v>
      </c>
      <c r="AC32" s="145" t="s">
        <v>401</v>
      </c>
      <c r="AD32" s="256" t="s">
        <v>401</v>
      </c>
    </row>
    <row r="33" spans="1:30" ht="19.5" x14ac:dyDescent="0.2">
      <c r="A33" s="88">
        <f t="shared" si="9"/>
        <v>29</v>
      </c>
      <c r="B33" s="33" t="s">
        <v>439</v>
      </c>
      <c r="C33" s="16" t="s">
        <v>401</v>
      </c>
      <c r="D33" s="212"/>
      <c r="E33" s="145" t="s">
        <v>401</v>
      </c>
      <c r="F33" s="212"/>
      <c r="G33" s="145" t="s">
        <v>401</v>
      </c>
      <c r="H33" s="145"/>
      <c r="I33" s="145" t="s">
        <v>401</v>
      </c>
      <c r="J33" s="145"/>
      <c r="K33" s="145" t="s">
        <v>401</v>
      </c>
      <c r="L33" s="145"/>
      <c r="M33" s="145" t="s">
        <v>401</v>
      </c>
      <c r="N33" s="145"/>
      <c r="O33" s="145" t="s">
        <v>401</v>
      </c>
      <c r="P33" s="145"/>
      <c r="Q33" s="145" t="s">
        <v>401</v>
      </c>
      <c r="R33" s="212">
        <f t="shared" si="6"/>
        <v>0</v>
      </c>
      <c r="S33" s="145" t="s">
        <v>401</v>
      </c>
      <c r="T33" s="145"/>
      <c r="U33" s="145" t="s">
        <v>401</v>
      </c>
      <c r="V33" s="145"/>
      <c r="W33" s="145" t="s">
        <v>631</v>
      </c>
      <c r="X33" s="145">
        <v>571</v>
      </c>
      <c r="Y33" s="145" t="s">
        <v>632</v>
      </c>
      <c r="Z33" s="145">
        <f t="shared" si="7"/>
        <v>571</v>
      </c>
      <c r="AA33" s="145" t="s">
        <v>401</v>
      </c>
      <c r="AB33" s="212">
        <f t="shared" si="8"/>
        <v>-571</v>
      </c>
      <c r="AC33" s="145" t="s">
        <v>401</v>
      </c>
      <c r="AD33" s="256" t="s">
        <v>401</v>
      </c>
    </row>
    <row r="34" spans="1:30" x14ac:dyDescent="0.2">
      <c r="A34" s="88">
        <f t="shared" si="9"/>
        <v>30</v>
      </c>
      <c r="B34" s="52" t="s">
        <v>442</v>
      </c>
      <c r="C34" s="16" t="s">
        <v>633</v>
      </c>
      <c r="D34" s="212"/>
      <c r="E34" s="145" t="s">
        <v>634</v>
      </c>
      <c r="F34" s="212"/>
      <c r="G34" s="145" t="s">
        <v>401</v>
      </c>
      <c r="H34" s="145"/>
      <c r="I34" s="145" t="s">
        <v>401</v>
      </c>
      <c r="J34" s="145"/>
      <c r="K34" s="145" t="s">
        <v>635</v>
      </c>
      <c r="L34" s="145"/>
      <c r="M34" s="145" t="s">
        <v>401</v>
      </c>
      <c r="N34" s="145"/>
      <c r="O34" s="145" t="s">
        <v>636</v>
      </c>
      <c r="P34" s="145"/>
      <c r="Q34" s="145" t="s">
        <v>637</v>
      </c>
      <c r="R34" s="212">
        <f t="shared" si="6"/>
        <v>0</v>
      </c>
      <c r="S34" s="145" t="s">
        <v>401</v>
      </c>
      <c r="T34" s="145"/>
      <c r="U34" s="145" t="s">
        <v>401</v>
      </c>
      <c r="V34" s="145"/>
      <c r="W34" s="145" t="s">
        <v>401</v>
      </c>
      <c r="X34" s="145"/>
      <c r="Y34" s="145" t="s">
        <v>401</v>
      </c>
      <c r="Z34" s="145">
        <f t="shared" si="7"/>
        <v>0</v>
      </c>
      <c r="AA34" s="145" t="s">
        <v>401</v>
      </c>
      <c r="AB34" s="212">
        <f t="shared" si="8"/>
        <v>0</v>
      </c>
      <c r="AC34" s="145" t="s">
        <v>401</v>
      </c>
      <c r="AD34" s="256" t="s">
        <v>401</v>
      </c>
    </row>
    <row r="35" spans="1:30" x14ac:dyDescent="0.2">
      <c r="A35" s="88">
        <f t="shared" si="9"/>
        <v>31</v>
      </c>
      <c r="B35" s="52" t="s">
        <v>448</v>
      </c>
      <c r="C35" s="16" t="s">
        <v>401</v>
      </c>
      <c r="D35" s="212"/>
      <c r="E35" s="145" t="s">
        <v>401</v>
      </c>
      <c r="F35" s="212"/>
      <c r="G35" s="145" t="s">
        <v>401</v>
      </c>
      <c r="H35" s="145"/>
      <c r="I35" s="145" t="s">
        <v>401</v>
      </c>
      <c r="J35" s="145"/>
      <c r="K35" s="145" t="s">
        <v>401</v>
      </c>
      <c r="L35" s="145"/>
      <c r="M35" s="145" t="s">
        <v>401</v>
      </c>
      <c r="N35" s="145"/>
      <c r="O35" s="145" t="s">
        <v>401</v>
      </c>
      <c r="P35" s="145"/>
      <c r="Q35" s="145" t="s">
        <v>401</v>
      </c>
      <c r="R35" s="212">
        <f t="shared" si="6"/>
        <v>0</v>
      </c>
      <c r="S35" s="145" t="s">
        <v>638</v>
      </c>
      <c r="T35" s="212">
        <v>75057</v>
      </c>
      <c r="U35" s="145" t="s">
        <v>401</v>
      </c>
      <c r="V35" s="145"/>
      <c r="W35" s="145" t="s">
        <v>401</v>
      </c>
      <c r="X35" s="145"/>
      <c r="Y35" s="145" t="s">
        <v>639</v>
      </c>
      <c r="Z35" s="145">
        <f t="shared" si="7"/>
        <v>75057</v>
      </c>
      <c r="AA35" s="145" t="s">
        <v>401</v>
      </c>
      <c r="AB35" s="212">
        <f t="shared" si="8"/>
        <v>-75057</v>
      </c>
      <c r="AC35" s="145" t="s">
        <v>640</v>
      </c>
      <c r="AD35" s="256"/>
    </row>
    <row r="36" spans="1:30" ht="19.5" x14ac:dyDescent="0.2">
      <c r="A36" s="88">
        <f t="shared" si="9"/>
        <v>32</v>
      </c>
      <c r="B36" s="33" t="s">
        <v>452</v>
      </c>
      <c r="C36" s="16" t="s">
        <v>401</v>
      </c>
      <c r="D36" s="212"/>
      <c r="E36" s="145" t="s">
        <v>401</v>
      </c>
      <c r="F36" s="212"/>
      <c r="G36" s="145" t="s">
        <v>401</v>
      </c>
      <c r="H36" s="145"/>
      <c r="I36" s="145" t="s">
        <v>401</v>
      </c>
      <c r="J36" s="145"/>
      <c r="K36" s="145" t="s">
        <v>401</v>
      </c>
      <c r="L36" s="145"/>
      <c r="M36" s="145" t="s">
        <v>401</v>
      </c>
      <c r="N36" s="145"/>
      <c r="O36" s="145" t="s">
        <v>401</v>
      </c>
      <c r="P36" s="145"/>
      <c r="Q36" s="145" t="s">
        <v>401</v>
      </c>
      <c r="R36" s="212">
        <f t="shared" si="6"/>
        <v>0</v>
      </c>
      <c r="S36" s="145" t="s">
        <v>401</v>
      </c>
      <c r="T36" s="145"/>
      <c r="U36" s="145" t="s">
        <v>641</v>
      </c>
      <c r="V36" s="145"/>
      <c r="W36" s="145" t="s">
        <v>401</v>
      </c>
      <c r="X36" s="145"/>
      <c r="Y36" s="145" t="s">
        <v>642</v>
      </c>
      <c r="Z36" s="145">
        <f t="shared" si="7"/>
        <v>0</v>
      </c>
      <c r="AA36" s="145" t="s">
        <v>401</v>
      </c>
      <c r="AB36" s="212">
        <f t="shared" si="8"/>
        <v>0</v>
      </c>
      <c r="AC36" s="145" t="s">
        <v>401</v>
      </c>
      <c r="AD36" s="256" t="s">
        <v>401</v>
      </c>
    </row>
    <row r="37" spans="1:30" ht="19.5" x14ac:dyDescent="0.2">
      <c r="A37" s="88">
        <f t="shared" si="9"/>
        <v>33</v>
      </c>
      <c r="B37" s="33" t="s">
        <v>455</v>
      </c>
      <c r="C37" s="16" t="s">
        <v>401</v>
      </c>
      <c r="D37" s="212"/>
      <c r="E37" s="145" t="s">
        <v>401</v>
      </c>
      <c r="F37" s="212"/>
      <c r="G37" s="145" t="s">
        <v>401</v>
      </c>
      <c r="H37" s="145"/>
      <c r="I37" s="145" t="s">
        <v>401</v>
      </c>
      <c r="J37" s="145"/>
      <c r="K37" s="145" t="s">
        <v>401</v>
      </c>
      <c r="L37" s="145"/>
      <c r="M37" s="145" t="s">
        <v>401</v>
      </c>
      <c r="N37" s="145"/>
      <c r="O37" s="145" t="s">
        <v>401</v>
      </c>
      <c r="P37" s="145"/>
      <c r="Q37" s="145" t="s">
        <v>401</v>
      </c>
      <c r="R37" s="212">
        <f t="shared" si="6"/>
        <v>0</v>
      </c>
      <c r="S37" s="145" t="s">
        <v>401</v>
      </c>
      <c r="T37" s="145"/>
      <c r="U37" s="145" t="s">
        <v>643</v>
      </c>
      <c r="V37" s="145"/>
      <c r="W37" s="145" t="s">
        <v>401</v>
      </c>
      <c r="X37" s="145"/>
      <c r="Y37" s="145" t="s">
        <v>644</v>
      </c>
      <c r="Z37" s="145">
        <f t="shared" si="7"/>
        <v>0</v>
      </c>
      <c r="AA37" s="145" t="s">
        <v>401</v>
      </c>
      <c r="AB37" s="212">
        <f t="shared" si="8"/>
        <v>0</v>
      </c>
      <c r="AC37" s="145" t="s">
        <v>401</v>
      </c>
      <c r="AD37" s="256" t="s">
        <v>401</v>
      </c>
    </row>
    <row r="38" spans="1:30" ht="19.5" x14ac:dyDescent="0.2">
      <c r="A38" s="88">
        <f t="shared" si="9"/>
        <v>34</v>
      </c>
      <c r="B38" s="33" t="s">
        <v>458</v>
      </c>
      <c r="C38" s="16" t="s">
        <v>645</v>
      </c>
      <c r="D38" s="212"/>
      <c r="E38" s="145" t="s">
        <v>646</v>
      </c>
      <c r="F38" s="212"/>
      <c r="G38" s="145" t="s">
        <v>647</v>
      </c>
      <c r="H38" s="145"/>
      <c r="I38" s="145" t="s">
        <v>648</v>
      </c>
      <c r="J38" s="145"/>
      <c r="K38" s="145" t="s">
        <v>649</v>
      </c>
      <c r="L38" s="145"/>
      <c r="M38" s="145" t="s">
        <v>650</v>
      </c>
      <c r="N38" s="145"/>
      <c r="O38" s="145" t="s">
        <v>651</v>
      </c>
      <c r="P38" s="145"/>
      <c r="Q38" s="145" t="s">
        <v>652</v>
      </c>
      <c r="R38" s="212">
        <f t="shared" si="6"/>
        <v>0</v>
      </c>
      <c r="S38" s="145" t="s">
        <v>653</v>
      </c>
      <c r="T38" s="145"/>
      <c r="U38" s="145" t="s">
        <v>654</v>
      </c>
      <c r="V38" s="145"/>
      <c r="W38" s="145" t="s">
        <v>655</v>
      </c>
      <c r="X38" s="145"/>
      <c r="Y38" s="145" t="s">
        <v>656</v>
      </c>
      <c r="Z38" s="145">
        <f t="shared" si="7"/>
        <v>0</v>
      </c>
      <c r="AA38" s="145" t="s">
        <v>401</v>
      </c>
      <c r="AB38" s="212">
        <f t="shared" si="8"/>
        <v>0</v>
      </c>
      <c r="AC38" s="145" t="s">
        <v>657</v>
      </c>
      <c r="AD38" s="256"/>
    </row>
    <row r="39" spans="1:30" ht="19.5" x14ac:dyDescent="0.2">
      <c r="A39" s="88">
        <f t="shared" si="9"/>
        <v>35</v>
      </c>
      <c r="B39" s="33" t="s">
        <v>472</v>
      </c>
      <c r="C39" s="16" t="s">
        <v>658</v>
      </c>
      <c r="D39" s="212"/>
      <c r="E39" s="145" t="s">
        <v>659</v>
      </c>
      <c r="F39" s="212"/>
      <c r="G39" s="145" t="s">
        <v>660</v>
      </c>
      <c r="H39" s="145"/>
      <c r="I39" s="145" t="s">
        <v>661</v>
      </c>
      <c r="J39" s="145"/>
      <c r="K39" s="145" t="s">
        <v>662</v>
      </c>
      <c r="L39" s="145"/>
      <c r="M39" s="145" t="s">
        <v>663</v>
      </c>
      <c r="N39" s="145"/>
      <c r="O39" s="145" t="s">
        <v>664</v>
      </c>
      <c r="P39" s="212">
        <v>123387</v>
      </c>
      <c r="Q39" s="145" t="s">
        <v>665</v>
      </c>
      <c r="R39" s="212">
        <f t="shared" si="6"/>
        <v>123387</v>
      </c>
      <c r="S39" s="145" t="s">
        <v>666</v>
      </c>
      <c r="T39" s="145"/>
      <c r="U39" s="145" t="s">
        <v>667</v>
      </c>
      <c r="V39" s="145"/>
      <c r="W39" s="145" t="s">
        <v>668</v>
      </c>
      <c r="X39" s="145"/>
      <c r="Y39" s="145" t="s">
        <v>669</v>
      </c>
      <c r="Z39" s="145">
        <f t="shared" si="7"/>
        <v>0</v>
      </c>
      <c r="AA39" s="145" t="s">
        <v>401</v>
      </c>
      <c r="AB39" s="212">
        <f t="shared" si="8"/>
        <v>123387</v>
      </c>
      <c r="AC39" s="145" t="s">
        <v>670</v>
      </c>
      <c r="AD39" s="256"/>
    </row>
    <row r="40" spans="1:30" x14ac:dyDescent="0.2">
      <c r="A40" s="88">
        <f t="shared" si="9"/>
        <v>36</v>
      </c>
      <c r="B40" s="33" t="s">
        <v>486</v>
      </c>
      <c r="C40" s="16" t="s">
        <v>401</v>
      </c>
      <c r="D40" s="212"/>
      <c r="E40" s="145" t="s">
        <v>401</v>
      </c>
      <c r="F40" s="212"/>
      <c r="G40" s="145" t="s">
        <v>401</v>
      </c>
      <c r="H40" s="145"/>
      <c r="I40" s="145" t="s">
        <v>401</v>
      </c>
      <c r="J40" s="145"/>
      <c r="K40" s="145" t="s">
        <v>401</v>
      </c>
      <c r="L40" s="145"/>
      <c r="M40" s="145" t="s">
        <v>401</v>
      </c>
      <c r="N40" s="145"/>
      <c r="O40" s="145" t="s">
        <v>671</v>
      </c>
      <c r="P40" s="145"/>
      <c r="Q40" s="145" t="s">
        <v>672</v>
      </c>
      <c r="R40" s="212">
        <f t="shared" si="6"/>
        <v>0</v>
      </c>
      <c r="S40" s="145" t="s">
        <v>401</v>
      </c>
      <c r="T40" s="145"/>
      <c r="U40" s="145" t="s">
        <v>401</v>
      </c>
      <c r="V40" s="145"/>
      <c r="W40" s="145" t="s">
        <v>401</v>
      </c>
      <c r="X40" s="145"/>
      <c r="Y40" s="145" t="s">
        <v>401</v>
      </c>
      <c r="Z40" s="145">
        <f t="shared" si="7"/>
        <v>0</v>
      </c>
      <c r="AA40" s="145" t="s">
        <v>401</v>
      </c>
      <c r="AB40" s="212">
        <f t="shared" si="8"/>
        <v>0</v>
      </c>
      <c r="AC40" s="145" t="s">
        <v>401</v>
      </c>
      <c r="AD40" s="256" t="s">
        <v>401</v>
      </c>
    </row>
    <row r="41" spans="1:30" ht="19.5" x14ac:dyDescent="0.2">
      <c r="A41" s="88">
        <f t="shared" si="9"/>
        <v>37</v>
      </c>
      <c r="B41" s="33" t="s">
        <v>489</v>
      </c>
      <c r="C41" s="16" t="s">
        <v>401</v>
      </c>
      <c r="D41" s="212"/>
      <c r="E41" s="145" t="s">
        <v>401</v>
      </c>
      <c r="F41" s="212"/>
      <c r="G41" s="145" t="s">
        <v>401</v>
      </c>
      <c r="H41" s="145"/>
      <c r="I41" s="145" t="s">
        <v>401</v>
      </c>
      <c r="J41" s="145"/>
      <c r="K41" s="145" t="s">
        <v>401</v>
      </c>
      <c r="L41" s="145"/>
      <c r="M41" s="145" t="s">
        <v>401</v>
      </c>
      <c r="N41" s="145"/>
      <c r="O41" s="145" t="s">
        <v>673</v>
      </c>
      <c r="P41" s="145"/>
      <c r="Q41" s="145" t="s">
        <v>674</v>
      </c>
      <c r="R41" s="212">
        <f t="shared" si="6"/>
        <v>0</v>
      </c>
      <c r="S41" s="145" t="s">
        <v>401</v>
      </c>
      <c r="T41" s="145"/>
      <c r="U41" s="145" t="s">
        <v>401</v>
      </c>
      <c r="V41" s="145"/>
      <c r="W41" s="145" t="s">
        <v>401</v>
      </c>
      <c r="X41" s="145"/>
      <c r="Y41" s="145" t="s">
        <v>401</v>
      </c>
      <c r="Z41" s="145">
        <f t="shared" si="7"/>
        <v>0</v>
      </c>
      <c r="AA41" s="145" t="s">
        <v>401</v>
      </c>
      <c r="AB41" s="212">
        <f t="shared" si="8"/>
        <v>0</v>
      </c>
      <c r="AC41" s="145" t="s">
        <v>401</v>
      </c>
      <c r="AD41" s="256" t="s">
        <v>401</v>
      </c>
    </row>
    <row r="42" spans="1:30" x14ac:dyDescent="0.2">
      <c r="A42" s="88">
        <f t="shared" si="9"/>
        <v>38</v>
      </c>
      <c r="B42" s="52" t="s">
        <v>675</v>
      </c>
      <c r="C42" s="16" t="s">
        <v>676</v>
      </c>
      <c r="D42" s="212"/>
      <c r="E42" s="145" t="s">
        <v>677</v>
      </c>
      <c r="F42" s="212"/>
      <c r="G42" s="145" t="s">
        <v>678</v>
      </c>
      <c r="H42" s="145"/>
      <c r="I42" s="145" t="s">
        <v>679</v>
      </c>
      <c r="J42" s="145"/>
      <c r="K42" s="145" t="s">
        <v>680</v>
      </c>
      <c r="L42" s="145"/>
      <c r="M42" s="145" t="s">
        <v>681</v>
      </c>
      <c r="N42" s="145"/>
      <c r="O42" s="145" t="s">
        <v>682</v>
      </c>
      <c r="P42" s="145"/>
      <c r="Q42" s="145" t="s">
        <v>683</v>
      </c>
      <c r="R42" s="212">
        <f t="shared" si="6"/>
        <v>0</v>
      </c>
      <c r="S42" s="145" t="s">
        <v>684</v>
      </c>
      <c r="T42" s="145"/>
      <c r="U42" s="145" t="s">
        <v>685</v>
      </c>
      <c r="V42" s="145"/>
      <c r="W42" s="145" t="s">
        <v>686</v>
      </c>
      <c r="X42" s="145"/>
      <c r="Y42" s="145" t="s">
        <v>687</v>
      </c>
      <c r="Z42" s="145">
        <f t="shared" si="7"/>
        <v>0</v>
      </c>
      <c r="AA42" s="145" t="s">
        <v>401</v>
      </c>
      <c r="AB42" s="212">
        <f t="shared" si="8"/>
        <v>0</v>
      </c>
      <c r="AC42" s="145" t="s">
        <v>688</v>
      </c>
      <c r="AD42" s="256"/>
    </row>
    <row r="43" spans="1:30" x14ac:dyDescent="0.2">
      <c r="A43" s="88">
        <f t="shared" si="9"/>
        <v>39</v>
      </c>
      <c r="B43" s="52" t="s">
        <v>689</v>
      </c>
      <c r="C43" s="16" t="s">
        <v>690</v>
      </c>
      <c r="D43" s="212"/>
      <c r="E43" s="145" t="s">
        <v>691</v>
      </c>
      <c r="F43" s="212"/>
      <c r="G43" s="145" t="s">
        <v>692</v>
      </c>
      <c r="H43" s="145"/>
      <c r="I43" s="145" t="s">
        <v>693</v>
      </c>
      <c r="J43" s="145"/>
      <c r="K43" s="145" t="s">
        <v>694</v>
      </c>
      <c r="L43" s="145"/>
      <c r="M43" s="145" t="s">
        <v>695</v>
      </c>
      <c r="N43" s="145"/>
      <c r="O43" s="145" t="s">
        <v>696</v>
      </c>
      <c r="P43" s="145"/>
      <c r="Q43" s="145" t="s">
        <v>697</v>
      </c>
      <c r="R43" s="212">
        <f t="shared" si="6"/>
        <v>0</v>
      </c>
      <c r="S43" s="145" t="s">
        <v>698</v>
      </c>
      <c r="T43" s="145"/>
      <c r="U43" s="145" t="s">
        <v>699</v>
      </c>
      <c r="V43" s="145"/>
      <c r="W43" s="145" t="s">
        <v>700</v>
      </c>
      <c r="X43" s="145"/>
      <c r="Y43" s="145" t="s">
        <v>701</v>
      </c>
      <c r="Z43" s="145">
        <f t="shared" si="7"/>
        <v>0</v>
      </c>
      <c r="AA43" s="145" t="s">
        <v>401</v>
      </c>
      <c r="AB43" s="212">
        <f t="shared" si="8"/>
        <v>0</v>
      </c>
      <c r="AC43" s="145" t="s">
        <v>702</v>
      </c>
      <c r="AD43" s="256"/>
    </row>
    <row r="44" spans="1:30" ht="33.75" x14ac:dyDescent="0.2">
      <c r="A44" s="88">
        <f t="shared" si="9"/>
        <v>40</v>
      </c>
      <c r="B44" s="61" t="s">
        <v>703</v>
      </c>
      <c r="C44" s="16" t="s">
        <v>704</v>
      </c>
      <c r="D44" s="212">
        <f>SUM(D30+D31+D33+D34+D35+D36+D38+D42)</f>
        <v>0</v>
      </c>
      <c r="E44" s="145" t="s">
        <v>705</v>
      </c>
      <c r="F44" s="212">
        <f>SUM(F30+F31+F33+F34+F35+F36+F38+F42)</f>
        <v>0</v>
      </c>
      <c r="G44" s="145" t="s">
        <v>706</v>
      </c>
      <c r="H44" s="212">
        <f>SUM(H30+H31+H33+H34+H35+H36+H38+H42)</f>
        <v>0</v>
      </c>
      <c r="I44" s="145" t="s">
        <v>707</v>
      </c>
      <c r="J44" s="212">
        <f>SUM(J30+J31+J33+J34+J35+J36+J38+J42)</f>
        <v>0</v>
      </c>
      <c r="K44" s="145" t="s">
        <v>708</v>
      </c>
      <c r="L44" s="212">
        <f>SUM(L30+L31+L33+L34+L35+L36+L38+L42)</f>
        <v>0</v>
      </c>
      <c r="M44" s="145" t="s">
        <v>709</v>
      </c>
      <c r="N44" s="212">
        <f>SUM(N30+N31+N33+N34+N35+N36+N38+N42)</f>
        <v>38184</v>
      </c>
      <c r="O44" s="145" t="s">
        <v>710</v>
      </c>
      <c r="P44" s="212">
        <f>SUM(P30+P31+P33+P34+P35+P36+P38+P42)</f>
        <v>0</v>
      </c>
      <c r="Q44" s="145" t="s">
        <v>711</v>
      </c>
      <c r="R44" s="212">
        <f>SUM(R30+R31+R33+R34+R35+R36+R38+R42)</f>
        <v>38184</v>
      </c>
      <c r="S44" s="145" t="s">
        <v>712</v>
      </c>
      <c r="T44" s="212">
        <f>SUM(T30+T31+T33+T34+T35+T36+T38+T42)</f>
        <v>75057</v>
      </c>
      <c r="U44" s="145" t="s">
        <v>713</v>
      </c>
      <c r="V44" s="212">
        <f>SUM(V30+V31+V33+V34+V35+V36+V38+V42)</f>
        <v>0</v>
      </c>
      <c r="W44" s="145" t="s">
        <v>714</v>
      </c>
      <c r="X44" s="212">
        <f>SUM(X30+X31+X33+X34+X35+X36+X38+X42)</f>
        <v>571</v>
      </c>
      <c r="Y44" s="145" t="s">
        <v>715</v>
      </c>
      <c r="Z44" s="212">
        <f>SUM(Z30+Z31+Z33+Z34+Z35+Z36+Z38+Z42)</f>
        <v>75628</v>
      </c>
      <c r="AA44" s="145" t="s">
        <v>401</v>
      </c>
      <c r="AB44" s="212">
        <f t="shared" si="8"/>
        <v>-37444</v>
      </c>
      <c r="AC44" s="145" t="s">
        <v>716</v>
      </c>
      <c r="AD44" s="256"/>
    </row>
    <row r="45" spans="1:30" ht="22.5" x14ac:dyDescent="0.2">
      <c r="A45" s="88">
        <f t="shared" si="9"/>
        <v>41</v>
      </c>
      <c r="B45" s="61" t="s">
        <v>717</v>
      </c>
      <c r="C45" s="16" t="s">
        <v>718</v>
      </c>
      <c r="D45" s="212">
        <f>SUM(D32+D37+D39+D40+D41+D43)</f>
        <v>0</v>
      </c>
      <c r="E45" s="145" t="s">
        <v>719</v>
      </c>
      <c r="F45" s="212">
        <f>SUM(F32+F37+F39+F40+F41+F43)</f>
        <v>0</v>
      </c>
      <c r="G45" s="145" t="s">
        <v>720</v>
      </c>
      <c r="H45" s="212">
        <f>SUM(H32+H37+H39+H40+H41+H43)</f>
        <v>0</v>
      </c>
      <c r="I45" s="145" t="s">
        <v>721</v>
      </c>
      <c r="J45" s="212">
        <f>SUM(J32+J37+J39+J40+J41+J43)</f>
        <v>0</v>
      </c>
      <c r="K45" s="145" t="s">
        <v>722</v>
      </c>
      <c r="L45" s="212">
        <f>SUM(L32+L37+L39+L40+L41+L43)</f>
        <v>0</v>
      </c>
      <c r="M45" s="145" t="s">
        <v>723</v>
      </c>
      <c r="N45" s="212">
        <f>SUM(N32+N37+N39+N40+N41+N43)</f>
        <v>12791</v>
      </c>
      <c r="O45" s="145" t="s">
        <v>724</v>
      </c>
      <c r="P45" s="212">
        <f>SUM(P32+P37+P39+P40+P41+P43)</f>
        <v>123387</v>
      </c>
      <c r="Q45" s="145" t="s">
        <v>725</v>
      </c>
      <c r="R45" s="212">
        <f>SUM(R32+R37+R39+R40+R41+R43)</f>
        <v>136178</v>
      </c>
      <c r="S45" s="145" t="s">
        <v>726</v>
      </c>
      <c r="T45" s="212">
        <f>SUM(T32+T37+T39+T40+T41+T43)</f>
        <v>0</v>
      </c>
      <c r="U45" s="145" t="s">
        <v>727</v>
      </c>
      <c r="V45" s="212">
        <f>SUM(V32+V37+V39+V40+V41+V43)</f>
        <v>0</v>
      </c>
      <c r="W45" s="145" t="s">
        <v>728</v>
      </c>
      <c r="X45" s="212">
        <f>SUM(X32+X37+X39+X40+X41+X43)</f>
        <v>825</v>
      </c>
      <c r="Y45" s="145" t="s">
        <v>729</v>
      </c>
      <c r="Z45" s="212">
        <f>SUM(Z32+Z37+Z39+Z40+Z41+Z43)</f>
        <v>825</v>
      </c>
      <c r="AA45" s="145" t="s">
        <v>401</v>
      </c>
      <c r="AB45" s="212">
        <f t="shared" si="8"/>
        <v>135353</v>
      </c>
      <c r="AC45" s="145" t="s">
        <v>730</v>
      </c>
      <c r="AD45" s="256"/>
    </row>
    <row r="46" spans="1:30" ht="23.25" thickBot="1" x14ac:dyDescent="0.25">
      <c r="A46" s="91">
        <f t="shared" si="9"/>
        <v>42</v>
      </c>
      <c r="B46" s="252" t="s">
        <v>731</v>
      </c>
      <c r="C46" s="250" t="s">
        <v>732</v>
      </c>
      <c r="D46" s="262">
        <f>SUM(D29+D44-D45)</f>
        <v>764802</v>
      </c>
      <c r="E46" s="146" t="s">
        <v>733</v>
      </c>
      <c r="F46" s="262">
        <f>SUM(F29+F44-F45)</f>
        <v>3444</v>
      </c>
      <c r="G46" s="146" t="s">
        <v>734</v>
      </c>
      <c r="H46" s="217">
        <f>SUM(H29+H44-H45)</f>
        <v>0</v>
      </c>
      <c r="I46" s="146" t="s">
        <v>735</v>
      </c>
      <c r="J46" s="262">
        <f>SUM(J29+J44-J45)</f>
        <v>57996</v>
      </c>
      <c r="K46" s="146" t="s">
        <v>736</v>
      </c>
      <c r="L46" s="262">
        <f>SUM(L29+L44-L45)</f>
        <v>153760</v>
      </c>
      <c r="M46" s="146" t="s">
        <v>737</v>
      </c>
      <c r="N46" s="262">
        <f>SUM(N29+N44-N45)</f>
        <v>39182</v>
      </c>
      <c r="O46" s="146" t="s">
        <v>738</v>
      </c>
      <c r="P46" s="262">
        <f>SUM(P29+P44-P45)</f>
        <v>240076</v>
      </c>
      <c r="Q46" s="146" t="s">
        <v>739</v>
      </c>
      <c r="R46" s="262">
        <f>SUM(R29+R44-R45)</f>
        <v>1259260</v>
      </c>
      <c r="S46" s="146" t="s">
        <v>740</v>
      </c>
      <c r="T46" s="262">
        <f>SUM(T29+T44-T45)</f>
        <v>75057</v>
      </c>
      <c r="U46" s="146" t="s">
        <v>741</v>
      </c>
      <c r="V46" s="217">
        <f>SUM(V29+V44-V45)</f>
        <v>0</v>
      </c>
      <c r="W46" s="146" t="s">
        <v>742</v>
      </c>
      <c r="X46" s="217">
        <f>SUM(X29+X44-X45)</f>
        <v>571</v>
      </c>
      <c r="Y46" s="146" t="s">
        <v>743</v>
      </c>
      <c r="Z46" s="262">
        <f>SUM(Z29+Z44-Z45)</f>
        <v>75628</v>
      </c>
      <c r="AA46" s="146" t="s">
        <v>744</v>
      </c>
      <c r="AB46" s="262">
        <f t="shared" si="8"/>
        <v>1183632</v>
      </c>
      <c r="AC46" s="146" t="s">
        <v>745</v>
      </c>
      <c r="AD46" s="153"/>
    </row>
    <row r="47" spans="1:30" s="47" customFormat="1" x14ac:dyDescent="0.2">
      <c r="A47" s="167"/>
      <c r="C47" s="263"/>
      <c r="E47" s="263"/>
      <c r="G47" s="263"/>
      <c r="I47" s="263"/>
      <c r="K47" s="263"/>
      <c r="M47" s="263"/>
      <c r="O47" s="263"/>
      <c r="Q47" s="263"/>
      <c r="S47" s="263"/>
      <c r="U47" s="263"/>
      <c r="W47" s="263"/>
      <c r="Y47" s="263"/>
      <c r="AA47" s="263"/>
      <c r="AC47" s="263"/>
    </row>
    <row r="48" spans="1:30" s="47" customFormat="1" x14ac:dyDescent="0.2">
      <c r="A48" s="264"/>
      <c r="C48" s="263"/>
      <c r="E48" s="263"/>
      <c r="G48" s="263"/>
      <c r="I48" s="263"/>
      <c r="K48" s="263"/>
      <c r="M48" s="263"/>
      <c r="O48" s="263"/>
      <c r="Q48" s="263"/>
      <c r="S48" s="263"/>
      <c r="U48" s="263"/>
      <c r="W48" s="263"/>
      <c r="X48" s="265"/>
      <c r="Y48" s="263"/>
      <c r="AA48" s="263"/>
      <c r="AC48" s="263"/>
    </row>
    <row r="49" spans="1:29" s="47" customFormat="1" x14ac:dyDescent="0.2">
      <c r="A49" s="264"/>
      <c r="C49" s="263"/>
      <c r="E49" s="263"/>
      <c r="G49" s="263"/>
      <c r="I49" s="263"/>
      <c r="K49" s="263"/>
      <c r="M49" s="263"/>
      <c r="O49" s="263"/>
      <c r="Q49" s="263"/>
      <c r="S49" s="263"/>
      <c r="U49" s="263"/>
      <c r="W49" s="263"/>
      <c r="Y49" s="263"/>
      <c r="AA49" s="263"/>
      <c r="AB49" s="265"/>
      <c r="AC49" s="263"/>
    </row>
    <row r="50" spans="1:29" s="47" customFormat="1" x14ac:dyDescent="0.2">
      <c r="A50" s="264"/>
      <c r="C50" s="263"/>
      <c r="E50" s="263"/>
      <c r="G50" s="263"/>
      <c r="I50" s="263"/>
      <c r="K50" s="263"/>
      <c r="M50" s="263"/>
      <c r="O50" s="263"/>
      <c r="Q50" s="263"/>
      <c r="S50" s="263"/>
      <c r="U50" s="263"/>
      <c r="W50" s="263"/>
      <c r="X50" s="265"/>
      <c r="Y50" s="263"/>
      <c r="AA50" s="263"/>
      <c r="AC50" s="263"/>
    </row>
    <row r="51" spans="1:29" s="47" customFormat="1" x14ac:dyDescent="0.2">
      <c r="A51" s="264"/>
      <c r="C51" s="263"/>
      <c r="E51" s="263"/>
      <c r="G51" s="263"/>
      <c r="I51" s="263"/>
      <c r="K51" s="263"/>
      <c r="M51" s="263"/>
      <c r="N51" s="265"/>
      <c r="O51" s="263"/>
      <c r="Q51" s="263"/>
      <c r="S51" s="263"/>
      <c r="U51" s="263"/>
      <c r="W51" s="263"/>
      <c r="Y51" s="263"/>
      <c r="AA51" s="263"/>
      <c r="AC51" s="263"/>
    </row>
  </sheetData>
  <mergeCells count="15">
    <mergeCell ref="AA2:AA3"/>
    <mergeCell ref="AC2:AC3"/>
    <mergeCell ref="A3:B3"/>
    <mergeCell ref="O2:O3"/>
    <mergeCell ref="Q2:Q3"/>
    <mergeCell ref="S2:S3"/>
    <mergeCell ref="U2:U3"/>
    <mergeCell ref="W2:W3"/>
    <mergeCell ref="Y2:Y3"/>
    <mergeCell ref="C2:C3"/>
    <mergeCell ref="E2:E3"/>
    <mergeCell ref="G2:G3"/>
    <mergeCell ref="I2:I3"/>
    <mergeCell ref="K2:K3"/>
    <mergeCell ref="M2:M3"/>
  </mergeCells>
  <pageMargins left="0.23622047244094491" right="0.23622047244094491" top="0.32" bottom="0.24" header="0.22" footer="0.16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bilans stanja</vt:lpstr>
      <vt:lpstr>bilans uspeha</vt:lpstr>
      <vt:lpstr>ostali rezultat</vt:lpstr>
      <vt:lpstr>tokovi gotovine</vt:lpstr>
      <vt:lpstr>promene na kapitalu</vt:lpstr>
      <vt:lpstr>'bilans uspeha'!Print_Titles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Bojan Maricic</cp:lastModifiedBy>
  <cp:lastPrinted>2015-03-20T07:12:08Z</cp:lastPrinted>
  <dcterms:created xsi:type="dcterms:W3CDTF">2015-01-06T09:46:24Z</dcterms:created>
  <dcterms:modified xsi:type="dcterms:W3CDTF">2015-03-20T07:16:33Z</dcterms:modified>
</cp:coreProperties>
</file>