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3615" windowWidth="17895" windowHeight="6090" activeTab="1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1">'bilans uspeha'!$A$1:$F$133</definedName>
    <definedName name="_xlnm.Print_Titles" localSheetId="1">'bilans uspeha'!$12:$13</definedName>
  </definedNames>
  <calcPr calcId="145621"/>
</workbook>
</file>

<file path=xl/calcChain.xml><?xml version="1.0" encoding="utf-8"?>
<calcChain xmlns="http://schemas.openxmlformats.org/spreadsheetml/2006/main">
  <c r="Z52" i="6" l="1"/>
  <c r="T32" i="6"/>
  <c r="T31" i="6"/>
  <c r="AF32" i="6"/>
  <c r="AH31" i="6"/>
  <c r="H77" i="1"/>
  <c r="N50" i="6"/>
  <c r="P52" i="6"/>
  <c r="H87" i="1"/>
  <c r="E33" i="4"/>
  <c r="E142" i="2" l="1"/>
  <c r="I21" i="1"/>
  <c r="I18" i="1"/>
  <c r="I22" i="1"/>
  <c r="E113" i="1" l="1"/>
  <c r="E63" i="1"/>
  <c r="E144" i="2" l="1"/>
  <c r="E27" i="2" l="1"/>
  <c r="E56" i="2"/>
  <c r="E26" i="2"/>
  <c r="H67" i="2" l="1"/>
  <c r="F139" i="2"/>
  <c r="G135" i="1" l="1"/>
  <c r="F135" i="1"/>
  <c r="E85" i="2" l="1"/>
  <c r="E105" i="2"/>
  <c r="E139" i="2"/>
  <c r="E106" i="2" l="1"/>
  <c r="E76" i="2"/>
  <c r="E114" i="1" l="1"/>
  <c r="E102" i="1"/>
  <c r="E84" i="1"/>
  <c r="E57" i="1"/>
  <c r="E44" i="1"/>
  <c r="E43" i="1"/>
  <c r="E22" i="1"/>
  <c r="E35" i="1"/>
  <c r="E90" i="2" l="1"/>
  <c r="E89" i="2" s="1"/>
  <c r="E80" i="2"/>
  <c r="E78" i="2" s="1"/>
  <c r="E69" i="2"/>
  <c r="E67" i="2" s="1"/>
  <c r="E55" i="2"/>
  <c r="E50" i="2" s="1"/>
  <c r="E41" i="2"/>
  <c r="E32" i="2"/>
  <c r="E25" i="2"/>
  <c r="E17" i="2"/>
  <c r="E87" i="1"/>
  <c r="E86" i="1" s="1"/>
  <c r="E125" i="1"/>
  <c r="E124" i="1"/>
  <c r="E122" i="1"/>
  <c r="E117" i="1"/>
  <c r="E108" i="1"/>
  <c r="E95" i="1"/>
  <c r="E89" i="1"/>
  <c r="E81" i="1"/>
  <c r="E80" i="1"/>
  <c r="E74" i="1"/>
  <c r="E64" i="1"/>
  <c r="E61" i="1"/>
  <c r="E59" i="1"/>
  <c r="E53" i="1"/>
  <c r="E51" i="1"/>
  <c r="E49" i="1"/>
  <c r="E48" i="1" s="1"/>
  <c r="E42" i="1"/>
  <c r="E31" i="1"/>
  <c r="E30" i="1"/>
  <c r="E26" i="1"/>
  <c r="E21" i="1"/>
  <c r="E20" i="1"/>
  <c r="E18" i="1"/>
  <c r="E24" i="2" l="1"/>
  <c r="E16" i="2" s="1"/>
  <c r="E49" i="2"/>
  <c r="E31" i="2" s="1"/>
  <c r="E87" i="2"/>
  <c r="E41" i="1"/>
  <c r="E38" i="1" s="1"/>
  <c r="E25" i="1"/>
  <c r="E17" i="1" s="1"/>
  <c r="E116" i="1"/>
  <c r="E107" i="1"/>
  <c r="E73" i="1"/>
  <c r="E94" i="1" l="1"/>
  <c r="E131" i="1" s="1"/>
  <c r="E65" i="2"/>
  <c r="E64" i="2"/>
  <c r="E68" i="1"/>
  <c r="E135" i="1" l="1"/>
  <c r="E102" i="2"/>
  <c r="G63" i="1"/>
  <c r="F63" i="1"/>
  <c r="G35" i="1"/>
  <c r="F35" i="1"/>
  <c r="E111" i="2" l="1"/>
  <c r="E116" i="2" s="1"/>
  <c r="F26" i="2"/>
  <c r="F113" i="2"/>
  <c r="E115" i="2" l="1"/>
  <c r="I116" i="2" s="1"/>
  <c r="F101" i="2"/>
  <c r="F91" i="2"/>
  <c r="F48" i="2"/>
  <c r="F45" i="2"/>
  <c r="F25" i="2"/>
  <c r="E124" i="2" l="1"/>
  <c r="E121" i="2"/>
  <c r="E46" i="3"/>
  <c r="N17" i="6" l="1"/>
  <c r="N16" i="6"/>
  <c r="N11" i="6"/>
  <c r="F41" i="3" l="1"/>
  <c r="F35" i="3"/>
  <c r="F40" i="3" s="1"/>
  <c r="F43" i="3" s="1"/>
  <c r="F49" i="3" s="1"/>
  <c r="F125" i="1" l="1"/>
  <c r="F124" i="1"/>
  <c r="F122" i="1" s="1"/>
  <c r="F117" i="1"/>
  <c r="F114" i="1"/>
  <c r="F113" i="1"/>
  <c r="F108" i="1"/>
  <c r="F102" i="1"/>
  <c r="F95" i="1"/>
  <c r="F89" i="1"/>
  <c r="F86" i="1"/>
  <c r="F84" i="1"/>
  <c r="F82" i="1"/>
  <c r="F80" i="1" s="1"/>
  <c r="F74" i="1"/>
  <c r="F64" i="1"/>
  <c r="F61" i="1"/>
  <c r="F59" i="1"/>
  <c r="F57" i="1"/>
  <c r="F53" i="1"/>
  <c r="F51" i="1"/>
  <c r="F49" i="1" s="1"/>
  <c r="F46" i="1"/>
  <c r="F44" i="1"/>
  <c r="F43" i="1"/>
  <c r="F31" i="1"/>
  <c r="F30" i="1" s="1"/>
  <c r="F26" i="1"/>
  <c r="F22" i="1"/>
  <c r="F21" i="1" s="1"/>
  <c r="F20" i="1"/>
  <c r="F18" i="1"/>
  <c r="G125" i="1"/>
  <c r="G122" i="1"/>
  <c r="G117" i="1"/>
  <c r="G108" i="1"/>
  <c r="G107" i="1" s="1"/>
  <c r="G102" i="1"/>
  <c r="G95" i="1"/>
  <c r="G89" i="1"/>
  <c r="G86" i="1"/>
  <c r="G82" i="1"/>
  <c r="G80" i="1" s="1"/>
  <c r="G74" i="1"/>
  <c r="G64" i="1"/>
  <c r="G61" i="1"/>
  <c r="G59" i="1"/>
  <c r="G57" i="1"/>
  <c r="G53" i="1"/>
  <c r="G49" i="1"/>
  <c r="G46" i="1"/>
  <c r="G45" i="1"/>
  <c r="G44" i="1"/>
  <c r="G43" i="1"/>
  <c r="G31" i="1"/>
  <c r="G30" i="1" s="1"/>
  <c r="G26" i="1"/>
  <c r="G22" i="1"/>
  <c r="G21" i="1" s="1"/>
  <c r="G20" i="1"/>
  <c r="G116" i="1" l="1"/>
  <c r="G94" i="1" s="1"/>
  <c r="G73" i="1"/>
  <c r="F25" i="1"/>
  <c r="G48" i="1"/>
  <c r="G25" i="1"/>
  <c r="G42" i="1"/>
  <c r="F73" i="1"/>
  <c r="F116" i="1"/>
  <c r="F42" i="1"/>
  <c r="F48" i="1"/>
  <c r="F107" i="1"/>
  <c r="F17" i="1"/>
  <c r="G17" i="1"/>
  <c r="G131" i="1" l="1"/>
  <c r="F94" i="1"/>
  <c r="F131" i="1" s="1"/>
  <c r="G41" i="1"/>
  <c r="G38" i="1" s="1"/>
  <c r="G68" i="1" s="1"/>
  <c r="F41" i="1"/>
  <c r="F38" i="1" s="1"/>
  <c r="F68" i="1" s="1"/>
  <c r="X51" i="6" l="1"/>
  <c r="X50" i="6"/>
  <c r="L11" i="6"/>
  <c r="L14" i="6" s="1"/>
  <c r="D11" i="6"/>
  <c r="E41" i="3" l="1"/>
  <c r="E40" i="3"/>
  <c r="E43" i="3" l="1"/>
  <c r="Z49" i="6" l="1"/>
  <c r="Z48" i="6"/>
  <c r="Z47" i="6"/>
  <c r="Z46" i="6"/>
  <c r="Z44" i="6"/>
  <c r="Z43" i="6"/>
  <c r="Z42" i="6"/>
  <c r="Z40" i="6"/>
  <c r="Z39" i="6"/>
  <c r="Z38" i="6"/>
  <c r="Z37" i="6"/>
  <c r="Z36" i="6"/>
  <c r="Z34" i="6"/>
  <c r="Z33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3" i="6"/>
  <c r="Z12" i="6"/>
  <c r="Z11" i="6"/>
  <c r="X30" i="6"/>
  <c r="X29" i="6"/>
  <c r="X14" i="6"/>
  <c r="V51" i="6"/>
  <c r="V50" i="6"/>
  <c r="V30" i="6"/>
  <c r="V29" i="6"/>
  <c r="V14" i="6"/>
  <c r="T51" i="6"/>
  <c r="R49" i="6"/>
  <c r="AB49" i="6" s="1"/>
  <c r="R48" i="6"/>
  <c r="R47" i="6"/>
  <c r="R46" i="6"/>
  <c r="R45" i="6"/>
  <c r="R44" i="6"/>
  <c r="R43" i="6"/>
  <c r="R42" i="6"/>
  <c r="R41" i="6"/>
  <c r="T41" i="6" s="1"/>
  <c r="Z41" i="6" s="1"/>
  <c r="AB41" i="6" s="1"/>
  <c r="R40" i="6"/>
  <c r="R39" i="6"/>
  <c r="R38" i="6"/>
  <c r="R37" i="6"/>
  <c r="R36" i="6"/>
  <c r="R34" i="6"/>
  <c r="R33" i="6"/>
  <c r="R28" i="6"/>
  <c r="AB28" i="6" s="1"/>
  <c r="R27" i="6"/>
  <c r="R26" i="6"/>
  <c r="AB26" i="6" s="1"/>
  <c r="R25" i="6"/>
  <c r="R24" i="6"/>
  <c r="R23" i="6"/>
  <c r="R22" i="6"/>
  <c r="AB22" i="6" s="1"/>
  <c r="R21" i="6"/>
  <c r="R20" i="6"/>
  <c r="R19" i="6"/>
  <c r="R18" i="6"/>
  <c r="AB18" i="6" s="1"/>
  <c r="R17" i="6"/>
  <c r="R16" i="6"/>
  <c r="R15" i="6"/>
  <c r="R13" i="6"/>
  <c r="AB13" i="6" s="1"/>
  <c r="R12" i="6"/>
  <c r="R11" i="6"/>
  <c r="T14" i="6"/>
  <c r="P51" i="6"/>
  <c r="P50" i="6"/>
  <c r="P30" i="6"/>
  <c r="P29" i="6"/>
  <c r="P14" i="6"/>
  <c r="N51" i="6"/>
  <c r="L51" i="6"/>
  <c r="L50" i="6"/>
  <c r="N30" i="6"/>
  <c r="N29" i="6"/>
  <c r="L30" i="6"/>
  <c r="L29" i="6"/>
  <c r="L31" i="6" s="1"/>
  <c r="L32" i="6" s="1"/>
  <c r="L35" i="6" s="1"/>
  <c r="N14" i="6"/>
  <c r="J51" i="6"/>
  <c r="J50" i="6"/>
  <c r="J30" i="6"/>
  <c r="J29" i="6"/>
  <c r="J14" i="6"/>
  <c r="H14" i="6"/>
  <c r="H51" i="6"/>
  <c r="H50" i="6"/>
  <c r="H35" i="6"/>
  <c r="H30" i="6"/>
  <c r="H29" i="6"/>
  <c r="F51" i="6"/>
  <c r="F50" i="6"/>
  <c r="D51" i="6"/>
  <c r="D50" i="6"/>
  <c r="F29" i="6"/>
  <c r="F30" i="6"/>
  <c r="F14" i="6"/>
  <c r="D30" i="6"/>
  <c r="D29" i="6"/>
  <c r="D14" i="6"/>
  <c r="F31" i="6" l="1"/>
  <c r="F32" i="6" s="1"/>
  <c r="F35" i="6" s="1"/>
  <c r="AB43" i="6"/>
  <c r="AB47" i="6"/>
  <c r="V52" i="6"/>
  <c r="J31" i="6"/>
  <c r="J32" i="6" s="1"/>
  <c r="J35" i="6" s="1"/>
  <c r="AB19" i="6"/>
  <c r="AB27" i="6"/>
  <c r="AB36" i="6"/>
  <c r="AB44" i="6"/>
  <c r="AB48" i="6"/>
  <c r="T50" i="6"/>
  <c r="AB34" i="6"/>
  <c r="AB12" i="6"/>
  <c r="AB21" i="6"/>
  <c r="AB25" i="6"/>
  <c r="AB33" i="6"/>
  <c r="AB42" i="6"/>
  <c r="AB46" i="6"/>
  <c r="P31" i="6"/>
  <c r="P32" i="6" s="1"/>
  <c r="P35" i="6" s="1"/>
  <c r="T35" i="6"/>
  <c r="Z51" i="6"/>
  <c r="Z50" i="6"/>
  <c r="Z30" i="6"/>
  <c r="AB23" i="6"/>
  <c r="R51" i="6"/>
  <c r="X31" i="6"/>
  <c r="X32" i="6" s="1"/>
  <c r="X35" i="6" s="1"/>
  <c r="X52" i="6" s="1"/>
  <c r="Z29" i="6"/>
  <c r="R29" i="6"/>
  <c r="N31" i="6"/>
  <c r="N32" i="6" s="1"/>
  <c r="N35" i="6" s="1"/>
  <c r="AB11" i="6"/>
  <c r="R50" i="6"/>
  <c r="H31" i="6"/>
  <c r="AB15" i="6"/>
  <c r="H52" i="6"/>
  <c r="Z14" i="6"/>
  <c r="R30" i="6"/>
  <c r="D31" i="6"/>
  <c r="D32" i="6" s="1"/>
  <c r="D35" i="6" s="1"/>
  <c r="D52" i="6" s="1"/>
  <c r="R14" i="6"/>
  <c r="L52" i="6"/>
  <c r="J52" i="6"/>
  <c r="F52" i="6"/>
  <c r="R31" i="6" l="1"/>
  <c r="Z31" i="6"/>
  <c r="Z32" i="6" s="1"/>
  <c r="Z35" i="6" s="1"/>
  <c r="N52" i="6"/>
  <c r="AB14" i="6"/>
  <c r="T52" i="6"/>
  <c r="R32" i="6" l="1"/>
  <c r="AB31" i="6"/>
  <c r="F95" i="2"/>
  <c r="F90" i="2"/>
  <c r="F80" i="2"/>
  <c r="F69" i="2"/>
  <c r="F67" i="2" s="1"/>
  <c r="F50" i="2"/>
  <c r="F41" i="2"/>
  <c r="F32" i="2"/>
  <c r="F24" i="2"/>
  <c r="F17" i="2"/>
  <c r="F16" i="2" l="1"/>
  <c r="R35" i="6"/>
  <c r="AB32" i="6"/>
  <c r="F89" i="2"/>
  <c r="F78" i="2"/>
  <c r="F88" i="2" s="1"/>
  <c r="F31" i="2"/>
  <c r="F22" i="4"/>
  <c r="E22" i="4"/>
  <c r="F54" i="4"/>
  <c r="E54" i="4"/>
  <c r="F48" i="4"/>
  <c r="E48" i="4"/>
  <c r="F41" i="4"/>
  <c r="E41" i="4"/>
  <c r="F35" i="4"/>
  <c r="E35" i="4"/>
  <c r="F16" i="4"/>
  <c r="E16" i="4"/>
  <c r="F65" i="2" l="1"/>
  <c r="F33" i="4"/>
  <c r="R52" i="6"/>
  <c r="AB52" i="6" s="1"/>
  <c r="AB35" i="6"/>
  <c r="E46" i="4"/>
  <c r="F46" i="4"/>
  <c r="F65" i="4"/>
  <c r="F64" i="2"/>
  <c r="E65" i="4"/>
  <c r="F62" i="4"/>
  <c r="E62" i="4"/>
  <c r="E64" i="4"/>
  <c r="F64" i="4"/>
  <c r="F67" i="4" l="1"/>
  <c r="F71" i="4" s="1"/>
  <c r="F102" i="2"/>
  <c r="F103" i="2"/>
  <c r="E67" i="4"/>
  <c r="E71" i="4" s="1"/>
  <c r="E80" i="4" s="1"/>
  <c r="F112" i="2" l="1"/>
  <c r="F116" i="2" l="1"/>
  <c r="F115" i="2"/>
  <c r="F121" i="2" l="1"/>
  <c r="F124" i="2"/>
</calcChain>
</file>

<file path=xl/comments1.xml><?xml version="1.0" encoding="utf-8"?>
<comments xmlns="http://schemas.openxmlformats.org/spreadsheetml/2006/main">
  <authors>
    <author>r.cvijic</author>
  </authors>
  <commentList>
    <comment ref="F83" authorId="0">
      <text>
        <r>
          <rPr>
            <b/>
            <sz val="9"/>
            <color indexed="81"/>
            <rFont val="Tahoma"/>
            <family val="2"/>
            <charset val="238"/>
          </rPr>
          <t>r.cvijic:</t>
        </r>
        <r>
          <rPr>
            <sz val="9"/>
            <color indexed="81"/>
            <rFont val="Tahoma"/>
            <family val="2"/>
            <charset val="238"/>
          </rPr>
          <t xml:space="preserve">
univerzal banka
</t>
        </r>
      </text>
    </comment>
  </commentList>
</comments>
</file>

<file path=xl/sharedStrings.xml><?xml version="1.0" encoding="utf-8"?>
<sst xmlns="http://schemas.openxmlformats.org/spreadsheetml/2006/main" count="1682" uniqueCount="1306">
  <si>
    <r>
      <rPr>
        <u/>
        <sz val="7"/>
        <rFont val="Arial Unicode MS"/>
        <family val="2"/>
        <charset val="238"/>
      </rPr>
      <t>(у хиљадама динара)</t>
    </r>
  </si>
  <si>
    <r>
      <rPr>
        <sz val="7"/>
        <rFont val="Arial Unicode MS"/>
        <family val="2"/>
        <charset val="238"/>
      </rPr>
      <t>2</t>
    </r>
  </si>
  <si>
    <r>
      <rPr>
        <sz val="7"/>
        <rFont val="Arial Unicode MS"/>
        <family val="2"/>
        <charset val="238"/>
      </rPr>
      <t>3</t>
    </r>
  </si>
  <si>
    <r>
      <rPr>
        <sz val="7"/>
        <rFont val="Arial Unicode MS"/>
        <family val="2"/>
        <charset val="238"/>
      </rPr>
      <t>4</t>
    </r>
  </si>
  <si>
    <r>
      <rPr>
        <sz val="9"/>
        <rFont val="Arial Unicode MS"/>
        <family val="2"/>
        <charset val="238"/>
      </rPr>
      <t>3001</t>
    </r>
  </si>
  <si>
    <r>
      <rPr>
        <sz val="9"/>
        <rFont val="Arial Unicode MS"/>
        <family val="2"/>
        <charset val="238"/>
      </rPr>
      <t>1. Премије осигурања и саосигурања и примљени аванси</t>
    </r>
  </si>
  <si>
    <r>
      <rPr>
        <sz val="9"/>
        <rFont val="Arial Unicode MS"/>
        <family val="2"/>
        <charset val="238"/>
      </rPr>
      <t>3002</t>
    </r>
  </si>
  <si>
    <r>
      <rPr>
        <sz val="9"/>
        <rFont val="Arial Unicode MS"/>
        <family val="2"/>
        <charset val="238"/>
      </rPr>
      <t>2. Премије реосигурања и ретроцесија</t>
    </r>
  </si>
  <si>
    <r>
      <rPr>
        <sz val="9"/>
        <rFont val="Arial Unicode MS"/>
        <family val="2"/>
        <charset val="238"/>
      </rPr>
      <t>3003</t>
    </r>
  </si>
  <si>
    <r>
      <rPr>
        <sz val="9"/>
        <rFont val="Arial Unicode MS"/>
        <family val="2"/>
        <charset val="238"/>
      </rPr>
      <t>3. Приливи од учешћа у накнади штета</t>
    </r>
  </si>
  <si>
    <r>
      <rPr>
        <sz val="9"/>
        <rFont val="Arial Unicode MS"/>
        <family val="2"/>
        <charset val="238"/>
      </rPr>
      <t>3004</t>
    </r>
  </si>
  <si>
    <r>
      <rPr>
        <sz val="9"/>
        <rFont val="Arial Unicode MS"/>
        <family val="2"/>
        <charset val="238"/>
      </rPr>
      <t>4. Примљене камате из пословних активности</t>
    </r>
  </si>
  <si>
    <r>
      <rPr>
        <sz val="9"/>
        <rFont val="Arial Unicode MS"/>
        <family val="2"/>
        <charset val="238"/>
      </rPr>
      <t>3005</t>
    </r>
  </si>
  <si>
    <r>
      <rPr>
        <sz val="9"/>
        <rFont val="Arial Unicode MS"/>
        <family val="2"/>
        <charset val="238"/>
      </rPr>
      <t>5. Остали приливи из редовног пословања</t>
    </r>
  </si>
  <si>
    <r>
      <rPr>
        <sz val="9"/>
        <rFont val="Arial Unicode MS"/>
        <family val="2"/>
        <charset val="238"/>
      </rPr>
      <t>3006</t>
    </r>
  </si>
  <si>
    <r>
      <rPr>
        <sz val="9"/>
        <rFont val="Arial Unicode MS"/>
        <family val="2"/>
        <charset val="238"/>
      </rPr>
      <t>3007</t>
    </r>
  </si>
  <si>
    <r>
      <rPr>
        <sz val="9"/>
        <rFont val="Arial Unicode MS"/>
        <family val="2"/>
        <charset val="238"/>
      </rPr>
      <t>1. Накнаде штета и уговорених износа из осигурања, удели у штетама из саосигурања и дати аванси</t>
    </r>
  </si>
  <si>
    <r>
      <rPr>
        <sz val="9"/>
        <rFont val="Arial Unicode MS"/>
        <family val="2"/>
        <charset val="238"/>
      </rPr>
      <t>3008</t>
    </r>
  </si>
  <si>
    <r>
      <rPr>
        <sz val="9"/>
        <rFont val="Arial Unicode MS"/>
        <family val="2"/>
        <charset val="238"/>
      </rPr>
      <t>2. Накнаде штета и удели у штетама из реосигурања и ретроцесија</t>
    </r>
  </si>
  <si>
    <r>
      <rPr>
        <sz val="9"/>
        <rFont val="Arial Unicode MS"/>
        <family val="2"/>
        <charset val="238"/>
      </rPr>
      <t>3009</t>
    </r>
  </si>
  <si>
    <r>
      <rPr>
        <sz val="9"/>
        <rFont val="Arial Unicode MS"/>
        <family val="2"/>
        <charset val="238"/>
      </rPr>
      <t>3. Премије саосигурања, реосигурања и ретроцесија</t>
    </r>
  </si>
  <si>
    <r>
      <rPr>
        <sz val="9"/>
        <rFont val="Arial Unicode MS"/>
        <family val="2"/>
        <charset val="238"/>
      </rPr>
      <t>3010</t>
    </r>
  </si>
  <si>
    <r>
      <rPr>
        <sz val="9"/>
        <rFont val="Arial Unicode MS"/>
        <family val="2"/>
        <charset val="238"/>
      </rPr>
      <t>4. Зараде, накнаде зарада и остали лични расходи</t>
    </r>
  </si>
  <si>
    <r>
      <rPr>
        <sz val="9"/>
        <rFont val="Arial Unicode MS"/>
        <family val="2"/>
        <charset val="238"/>
      </rPr>
      <t>3011</t>
    </r>
  </si>
  <si>
    <r>
      <rPr>
        <sz val="9"/>
        <rFont val="Arial Unicode MS"/>
        <family val="2"/>
        <charset val="238"/>
      </rPr>
      <t>5. Остали трошкови спровођења осигурања</t>
    </r>
  </si>
  <si>
    <r>
      <rPr>
        <sz val="9"/>
        <rFont val="Arial Unicode MS"/>
        <family val="2"/>
        <charset val="238"/>
      </rPr>
      <t>3012</t>
    </r>
  </si>
  <si>
    <r>
      <rPr>
        <sz val="9"/>
        <rFont val="Arial Unicode MS"/>
        <family val="2"/>
        <charset val="238"/>
      </rPr>
      <t>6. Плаћене камате</t>
    </r>
  </si>
  <si>
    <r>
      <rPr>
        <sz val="9"/>
        <rFont val="Arial Unicode MS"/>
        <family val="2"/>
        <charset val="238"/>
      </rPr>
      <t>3013</t>
    </r>
  </si>
  <si>
    <r>
      <rPr>
        <sz val="9"/>
        <rFont val="Arial Unicode MS"/>
        <family val="2"/>
        <charset val="238"/>
      </rPr>
      <t>7. Порез на добитак</t>
    </r>
  </si>
  <si>
    <r>
      <rPr>
        <sz val="9"/>
        <rFont val="Arial Unicode MS"/>
        <family val="2"/>
        <charset val="238"/>
      </rPr>
      <t>3014</t>
    </r>
  </si>
  <si>
    <r>
      <rPr>
        <sz val="9"/>
        <rFont val="Arial Unicode MS"/>
        <family val="2"/>
        <charset val="238"/>
      </rPr>
      <t>8. Одливи по основу осталих јавних прихода</t>
    </r>
  </si>
  <si>
    <r>
      <rPr>
        <sz val="9"/>
        <rFont val="Arial Unicode MS"/>
        <family val="2"/>
        <charset val="238"/>
      </rPr>
      <t>3015</t>
    </r>
  </si>
  <si>
    <r>
      <rPr>
        <sz val="9"/>
        <rFont val="Arial Unicode MS"/>
        <family val="2"/>
        <charset val="238"/>
      </rPr>
      <t>9. Остали одливи готовине из редовног пословања</t>
    </r>
  </si>
  <si>
    <r>
      <rPr>
        <sz val="9"/>
        <rFont val="Arial Unicode MS"/>
        <family val="2"/>
        <charset val="238"/>
      </rPr>
      <t>3016</t>
    </r>
  </si>
  <si>
    <r>
      <rPr>
        <sz val="9"/>
        <rFont val="Arial Unicode MS"/>
        <family val="2"/>
        <charset val="238"/>
      </rPr>
      <t>3017</t>
    </r>
  </si>
  <si>
    <r>
      <rPr>
        <sz val="9"/>
        <rFont val="Arial Unicode MS"/>
        <family val="2"/>
        <charset val="238"/>
      </rPr>
      <t>3018</t>
    </r>
  </si>
  <si>
    <r>
      <rPr>
        <sz val="9"/>
        <rFont val="Arial Unicode MS"/>
        <family val="2"/>
        <charset val="238"/>
      </rPr>
      <t>3019</t>
    </r>
  </si>
  <si>
    <r>
      <rPr>
        <sz val="9"/>
        <rFont val="Arial Unicode MS"/>
        <family val="2"/>
        <charset val="238"/>
      </rPr>
      <t>1. Продаја акција и удела (нето приливи)</t>
    </r>
  </si>
  <si>
    <r>
      <rPr>
        <sz val="9"/>
        <rFont val="Arial Unicode MS"/>
        <family val="2"/>
        <charset val="238"/>
      </rPr>
      <t>3020</t>
    </r>
  </si>
  <si>
    <r>
      <rPr>
        <sz val="9"/>
        <rFont val="Arial Unicode MS"/>
        <family val="2"/>
        <charset val="238"/>
      </rPr>
      <t>2. Продаја нематеријалних улагања, некретнина, постројења, опреме и биолошких средстава</t>
    </r>
  </si>
  <si>
    <r>
      <rPr>
        <sz val="9"/>
        <rFont val="Arial Unicode MS"/>
        <family val="2"/>
        <charset val="238"/>
      </rPr>
      <t>3021</t>
    </r>
  </si>
  <si>
    <r>
      <rPr>
        <sz val="9"/>
        <rFont val="Arial Unicode MS"/>
        <family val="2"/>
        <charset val="238"/>
      </rPr>
      <t>3. Остали финансијски пласмани - депоновања и улагања (нето приливи)</t>
    </r>
  </si>
  <si>
    <r>
      <rPr>
        <sz val="9"/>
        <rFont val="Arial Unicode MS"/>
        <family val="2"/>
        <charset val="238"/>
      </rPr>
      <t>3022</t>
    </r>
  </si>
  <si>
    <r>
      <rPr>
        <sz val="9"/>
        <rFont val="Arial Unicode MS"/>
        <family val="2"/>
        <charset val="238"/>
      </rPr>
      <t>4. Примљене камате из активности инвестирања</t>
    </r>
  </si>
  <si>
    <r>
      <rPr>
        <sz val="9"/>
        <rFont val="Arial Unicode MS"/>
        <family val="2"/>
        <charset val="238"/>
      </rPr>
      <t>3023</t>
    </r>
  </si>
  <si>
    <r>
      <rPr>
        <sz val="9"/>
        <rFont val="Arial Unicode MS"/>
        <family val="2"/>
        <charset val="238"/>
      </rPr>
      <t>5. Примљене дивиденде и учешћа у резултату</t>
    </r>
  </si>
  <si>
    <r>
      <rPr>
        <sz val="9"/>
        <rFont val="Arial Unicode MS"/>
        <family val="2"/>
        <charset val="238"/>
      </rPr>
      <t>3024</t>
    </r>
  </si>
  <si>
    <r>
      <rPr>
        <sz val="9"/>
        <rFont val="Arial Unicode MS"/>
        <family val="2"/>
        <charset val="238"/>
      </rPr>
      <t>3025</t>
    </r>
  </si>
  <si>
    <r>
      <rPr>
        <sz val="9"/>
        <rFont val="Arial Unicode MS"/>
        <family val="2"/>
        <charset val="238"/>
      </rPr>
      <t>1. Куповина акција и удела (нето одливи)</t>
    </r>
  </si>
  <si>
    <r>
      <rPr>
        <sz val="9"/>
        <rFont val="Arial Unicode MS"/>
        <family val="2"/>
        <charset val="238"/>
      </rPr>
      <t>3026</t>
    </r>
  </si>
  <si>
    <r>
      <rPr>
        <sz val="9"/>
        <rFont val="Arial Unicode MS"/>
        <family val="2"/>
        <charset val="238"/>
      </rPr>
      <t>2. Куповина нематеријалних улагања, некретнина, постројења, опреме и биолошких средстава</t>
    </r>
  </si>
  <si>
    <r>
      <rPr>
        <sz val="9"/>
        <rFont val="Arial Unicode MS"/>
        <family val="2"/>
        <charset val="238"/>
      </rPr>
      <t>3027</t>
    </r>
  </si>
  <si>
    <r>
      <rPr>
        <sz val="9"/>
        <rFont val="Arial Unicode MS"/>
        <family val="2"/>
        <charset val="238"/>
      </rPr>
      <t>3028</t>
    </r>
  </si>
  <si>
    <r>
      <rPr>
        <sz val="9"/>
        <rFont val="Arial Unicode MS"/>
        <family val="2"/>
        <charset val="238"/>
      </rPr>
      <t>3029</t>
    </r>
  </si>
  <si>
    <r>
      <rPr>
        <sz val="9"/>
        <rFont val="Arial Unicode MS"/>
        <family val="2"/>
        <charset val="238"/>
      </rPr>
      <t>3030</t>
    </r>
  </si>
  <si>
    <r>
      <rPr>
        <sz val="9"/>
        <rFont val="Arial Unicode MS"/>
        <family val="2"/>
        <charset val="238"/>
      </rPr>
      <t>3031</t>
    </r>
  </si>
  <si>
    <r>
      <rPr>
        <sz val="9"/>
        <rFont val="Arial Unicode MS"/>
        <family val="2"/>
        <charset val="238"/>
      </rPr>
      <t>1. Увећање основног капитала</t>
    </r>
  </si>
  <si>
    <r>
      <rPr>
        <sz val="9"/>
        <rFont val="Arial Unicode MS"/>
        <family val="2"/>
        <charset val="238"/>
      </rPr>
      <t>3032</t>
    </r>
  </si>
  <si>
    <r>
      <rPr>
        <sz val="9"/>
        <rFont val="Arial Unicode MS"/>
        <family val="2"/>
        <charset val="238"/>
      </rPr>
      <t>2. Дугорочни кредити (нето приливи)</t>
    </r>
  </si>
  <si>
    <r>
      <rPr>
        <sz val="9"/>
        <rFont val="Arial Unicode MS"/>
        <family val="2"/>
        <charset val="238"/>
      </rPr>
      <t>3033</t>
    </r>
  </si>
  <si>
    <r>
      <rPr>
        <sz val="9"/>
        <rFont val="Arial Unicode MS"/>
        <family val="2"/>
        <charset val="238"/>
      </rPr>
      <t>3. Краткорочни кредити (нето приливи)</t>
    </r>
  </si>
  <si>
    <r>
      <rPr>
        <sz val="9"/>
        <rFont val="Arial Unicode MS"/>
        <family val="2"/>
        <charset val="238"/>
      </rPr>
      <t>3034</t>
    </r>
  </si>
  <si>
    <r>
      <rPr>
        <sz val="9"/>
        <rFont val="Arial Unicode MS"/>
        <family val="2"/>
        <charset val="238"/>
      </rPr>
      <t>4. Остале дугорочне обавезе</t>
    </r>
  </si>
  <si>
    <r>
      <rPr>
        <sz val="9"/>
        <rFont val="Arial Unicode MS"/>
        <family val="2"/>
        <charset val="238"/>
      </rPr>
      <t>3035</t>
    </r>
  </si>
  <si>
    <r>
      <rPr>
        <sz val="9"/>
        <rFont val="Arial Unicode MS"/>
        <family val="2"/>
        <charset val="238"/>
      </rPr>
      <t>5. Остале краткорочне обавезе</t>
    </r>
  </si>
  <si>
    <r>
      <rPr>
        <sz val="9"/>
        <rFont val="Arial Unicode MS"/>
        <family val="2"/>
        <charset val="238"/>
      </rPr>
      <t>3036</t>
    </r>
  </si>
  <si>
    <r>
      <rPr>
        <sz val="9"/>
        <rFont val="Arial Unicode MS"/>
        <family val="2"/>
        <charset val="238"/>
      </rPr>
      <t>3037</t>
    </r>
  </si>
  <si>
    <r>
      <rPr>
        <sz val="9"/>
        <rFont val="Arial Unicode MS"/>
        <family val="2"/>
        <charset val="238"/>
      </rPr>
      <t>1. Откуп сопствених акција и удела</t>
    </r>
  </si>
  <si>
    <r>
      <rPr>
        <sz val="9"/>
        <rFont val="Arial Unicode MS"/>
        <family val="2"/>
        <charset val="238"/>
      </rPr>
      <t>3038</t>
    </r>
  </si>
  <si>
    <r>
      <rPr>
        <sz val="9"/>
        <rFont val="Arial Unicode MS"/>
        <family val="2"/>
        <charset val="238"/>
      </rPr>
      <t>2. Дугорочни кредити (нето одливи)</t>
    </r>
  </si>
  <si>
    <r>
      <rPr>
        <sz val="9"/>
        <rFont val="Arial Unicode MS"/>
        <family val="2"/>
        <charset val="238"/>
      </rPr>
      <t>3039</t>
    </r>
  </si>
  <si>
    <r>
      <rPr>
        <sz val="9"/>
        <rFont val="Arial Unicode MS"/>
        <family val="2"/>
        <charset val="238"/>
      </rPr>
      <t>3. Краткорочни кредити (нето одливи)</t>
    </r>
  </si>
  <si>
    <r>
      <rPr>
        <sz val="9"/>
        <rFont val="Arial Unicode MS"/>
        <family val="2"/>
        <charset val="238"/>
      </rPr>
      <t>3040</t>
    </r>
  </si>
  <si>
    <r>
      <rPr>
        <sz val="9"/>
        <rFont val="Arial Unicode MS"/>
        <family val="2"/>
        <charset val="238"/>
      </rPr>
      <t>3041</t>
    </r>
  </si>
  <si>
    <r>
      <rPr>
        <sz val="9"/>
        <rFont val="Arial Unicode MS"/>
        <family val="2"/>
        <charset val="238"/>
      </rPr>
      <t>3042</t>
    </r>
  </si>
  <si>
    <r>
      <rPr>
        <sz val="9"/>
        <rFont val="Arial Unicode MS"/>
        <family val="2"/>
        <charset val="238"/>
      </rPr>
      <t>6. Финансијски лизинг</t>
    </r>
  </si>
  <si>
    <r>
      <rPr>
        <sz val="9"/>
        <rFont val="Arial Unicode MS"/>
        <family val="2"/>
        <charset val="238"/>
      </rPr>
      <t>3043</t>
    </r>
  </si>
  <si>
    <r>
      <rPr>
        <sz val="9"/>
        <rFont val="Arial Unicode MS"/>
        <family val="2"/>
        <charset val="238"/>
      </rPr>
      <t>7. Исплаћене дивиденде и учешћа у резултату</t>
    </r>
  </si>
  <si>
    <r>
      <rPr>
        <sz val="9"/>
        <rFont val="Arial Unicode MS"/>
        <family val="2"/>
        <charset val="238"/>
      </rPr>
      <t>3044</t>
    </r>
  </si>
  <si>
    <r>
      <rPr>
        <sz val="9"/>
        <rFont val="Arial Unicode MS"/>
        <family val="2"/>
        <charset val="238"/>
      </rPr>
      <t>3045</t>
    </r>
  </si>
  <si>
    <r>
      <rPr>
        <sz val="9"/>
        <rFont val="Arial Unicode MS"/>
        <family val="2"/>
        <charset val="238"/>
      </rPr>
      <t>3046</t>
    </r>
  </si>
  <si>
    <r>
      <rPr>
        <sz val="9"/>
        <rFont val="Arial Unicode MS"/>
        <family val="2"/>
        <charset val="238"/>
      </rPr>
      <t>3047</t>
    </r>
  </si>
  <si>
    <r>
      <rPr>
        <sz val="9"/>
        <rFont val="Arial Unicode MS"/>
        <family val="2"/>
        <charset val="238"/>
      </rPr>
      <t>3048</t>
    </r>
  </si>
  <si>
    <r>
      <rPr>
        <sz val="9"/>
        <rFont val="Arial Unicode MS"/>
        <family val="2"/>
        <charset val="238"/>
      </rPr>
      <t>3049</t>
    </r>
  </si>
  <si>
    <r>
      <rPr>
        <sz val="9"/>
        <rFont val="Arial Unicode MS"/>
        <family val="2"/>
        <charset val="238"/>
      </rPr>
      <t>3050</t>
    </r>
  </si>
  <si>
    <r>
      <rPr>
        <sz val="9"/>
        <rFont val="Arial Unicode MS"/>
        <family val="2"/>
        <charset val="238"/>
      </rPr>
      <t>3051</t>
    </r>
  </si>
  <si>
    <r>
      <rPr>
        <sz val="9"/>
        <rFont val="Arial Unicode MS"/>
        <family val="2"/>
        <charset val="238"/>
      </rPr>
      <t>3052</t>
    </r>
  </si>
  <si>
    <r>
      <rPr>
        <sz val="9"/>
        <rFont val="Arial Unicode MS"/>
        <family val="2"/>
        <charset val="238"/>
      </rPr>
      <t>3053</t>
    </r>
  </si>
  <si>
    <r>
      <rPr>
        <sz val="9"/>
        <rFont val="Arial Unicode MS"/>
        <family val="2"/>
        <charset val="238"/>
      </rPr>
      <t>3054</t>
    </r>
  </si>
  <si>
    <t xml:space="preserve"> напомена</t>
  </si>
  <si>
    <t xml:space="preserve">                  Претходна година</t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</si>
  <si>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</si>
  <si>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</si>
  <si>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</si>
  <si>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r>
      <rPr>
        <b/>
        <sz val="9"/>
        <rFont val="Arial Unicode MS"/>
        <family val="2"/>
        <charset val="238"/>
      </rPr>
      <t>А.</t>
    </r>
  </si>
  <si>
    <r>
      <rPr>
        <b/>
        <sz val="7"/>
        <rFont val="Arial Unicode MS"/>
        <family val="2"/>
        <charset val="238"/>
      </rPr>
      <t>1</t>
    </r>
  </si>
  <si>
    <r>
      <rPr>
        <b/>
        <sz val="9"/>
        <rFont val="Arial Unicode MS"/>
        <family val="2"/>
        <charset val="238"/>
      </rPr>
      <t>ТОКОВИ ГОТОВИНЕ ИЗ ПОСЛОВНИХ АКТИВНОСТИ</t>
    </r>
  </si>
  <si>
    <r>
      <rPr>
        <b/>
        <sz val="9"/>
        <rFont val="Arial Unicode MS"/>
        <family val="2"/>
        <charset val="238"/>
      </rPr>
      <t>I.</t>
    </r>
  </si>
  <si>
    <r>
      <rPr>
        <b/>
        <sz val="9"/>
        <rFont val="Arial Unicode MS"/>
        <family val="2"/>
        <charset val="238"/>
      </rPr>
      <t>Приливи готовине из пословних активности (од 1 до 5)</t>
    </r>
  </si>
  <si>
    <r>
      <rPr>
        <b/>
        <sz val="9"/>
        <rFont val="Arial Unicode MS"/>
        <family val="2"/>
        <charset val="238"/>
      </rPr>
      <t>II.</t>
    </r>
  </si>
  <si>
    <r>
      <rPr>
        <b/>
        <sz val="9"/>
        <rFont val="Arial Unicode MS"/>
        <family val="2"/>
        <charset val="238"/>
      </rPr>
      <t>Одливи готовине из пословних активности (од 1 до 9)</t>
    </r>
  </si>
  <si>
    <r>
      <rPr>
        <b/>
        <sz val="9"/>
        <rFont val="Arial Unicode MS"/>
        <family val="2"/>
        <charset val="238"/>
      </rPr>
      <t>III.</t>
    </r>
  </si>
  <si>
    <r>
      <rPr>
        <b/>
        <sz val="9"/>
        <rFont val="Arial Unicode MS"/>
        <family val="2"/>
        <charset val="238"/>
      </rPr>
      <t>Нето прилив готовине из пословних активности (I - II)</t>
    </r>
  </si>
  <si>
    <r>
      <rPr>
        <b/>
        <sz val="9"/>
        <rFont val="Arial Unicode MS"/>
        <family val="2"/>
        <charset val="238"/>
      </rPr>
      <t>IV.</t>
    </r>
  </si>
  <si>
    <r>
      <rPr>
        <b/>
        <sz val="9"/>
        <rFont val="Arial Unicode MS"/>
        <family val="2"/>
        <charset val="238"/>
      </rPr>
      <t>Нето одлив готовине из пословних активности (II - I)</t>
    </r>
  </si>
  <si>
    <r>
      <rPr>
        <b/>
        <sz val="9"/>
        <rFont val="Arial Unicode MS"/>
        <family val="2"/>
        <charset val="238"/>
      </rPr>
      <t>Б.</t>
    </r>
  </si>
  <si>
    <r>
      <rPr>
        <b/>
        <sz val="9"/>
        <rFont val="Arial Unicode MS"/>
        <family val="2"/>
        <charset val="238"/>
      </rPr>
      <t>ТОКОВИ ГОТОВИНЕ ИЗ АКТИВНОСТИ ИНВЕСТИРАЊА</t>
    </r>
  </si>
  <si>
    <r>
      <rPr>
        <b/>
        <sz val="9"/>
        <rFont val="Arial Unicode MS"/>
        <family val="2"/>
        <charset val="238"/>
      </rPr>
      <t>Приливи готовине из активности инвестирања (од 1 до 5)</t>
    </r>
  </si>
  <si>
    <r>
      <rPr>
        <b/>
        <sz val="9"/>
        <rFont val="Arial Unicode MS"/>
        <family val="2"/>
        <charset val="238"/>
      </rPr>
      <t>Одливи готовине из активности инвестирања (од 1 до 3)</t>
    </r>
  </si>
  <si>
    <r>
      <rPr>
        <b/>
        <sz val="9"/>
        <rFont val="Arial Unicode MS"/>
        <family val="2"/>
        <charset val="238"/>
      </rPr>
      <t>Нето прилив готовине из активности инвестирања (I - II)</t>
    </r>
  </si>
  <si>
    <r>
      <rPr>
        <b/>
        <sz val="9"/>
        <rFont val="Arial Unicode MS"/>
        <family val="2"/>
        <charset val="238"/>
      </rPr>
      <t>Нето одлив готовине из активности инвестирања (II - I)</t>
    </r>
  </si>
  <si>
    <r>
      <rPr>
        <b/>
        <sz val="9"/>
        <rFont val="Arial Unicode MS"/>
        <family val="2"/>
        <charset val="238"/>
      </rPr>
      <t>В.</t>
    </r>
  </si>
  <si>
    <r>
      <rPr>
        <b/>
        <sz val="9"/>
        <rFont val="Arial Unicode MS"/>
        <family val="2"/>
        <charset val="238"/>
      </rPr>
      <t>ТОКОВИ ГОТОВИНЕ ИЗ АКТИВНОСТИ ФИНАНСИРАЊА</t>
    </r>
  </si>
  <si>
    <r>
      <rPr>
        <b/>
        <sz val="9"/>
        <rFont val="Arial Unicode MS"/>
        <family val="2"/>
        <charset val="238"/>
      </rPr>
      <t>Приливи готовине из активности финансирања (од 1 до 5)</t>
    </r>
  </si>
  <si>
    <r>
      <rPr>
        <b/>
        <sz val="9"/>
        <rFont val="Arial Unicode MS"/>
        <family val="2"/>
        <charset val="238"/>
      </rPr>
      <t>Одливи готовине из активности финансирања (од 1 до 7)</t>
    </r>
  </si>
  <si>
    <r>
      <rPr>
        <b/>
        <sz val="9"/>
        <rFont val="Arial Unicode MS"/>
        <family val="2"/>
        <charset val="238"/>
      </rPr>
      <t>Нето прилив готовине из активности финансирања (I - II)</t>
    </r>
  </si>
  <si>
    <r>
      <rPr>
        <b/>
        <sz val="9"/>
        <rFont val="Arial Unicode MS"/>
        <family val="2"/>
        <charset val="238"/>
      </rPr>
      <t>Нето одлив готовине из активности финансирања (II - I)</t>
    </r>
  </si>
  <si>
    <r>
      <rPr>
        <b/>
        <sz val="9"/>
        <rFont val="Arial Unicode MS"/>
        <family val="2"/>
        <charset val="238"/>
      </rPr>
      <t>Г.</t>
    </r>
  </si>
  <si>
    <r>
      <rPr>
        <b/>
        <sz val="9"/>
        <rFont val="Arial Unicode MS"/>
        <family val="2"/>
        <charset val="238"/>
      </rPr>
      <t>СВЕГА ПРИЛИВ ГОТОВИНЕ (3001 + 3019 + 3031)</t>
    </r>
  </si>
  <si>
    <r>
      <rPr>
        <b/>
        <sz val="9"/>
        <rFont val="Arial Unicode MS"/>
        <family val="2"/>
        <charset val="238"/>
      </rPr>
      <t>Д.</t>
    </r>
  </si>
  <si>
    <r>
      <rPr>
        <b/>
        <sz val="9"/>
        <rFont val="Arial Unicode MS"/>
        <family val="2"/>
        <charset val="238"/>
      </rPr>
      <t>СВЕГА ОДЛИВ ГОТОВИНЕ (3007 + 3025 + 3037)</t>
    </r>
  </si>
  <si>
    <r>
      <rPr>
        <b/>
        <sz val="9"/>
        <rFont val="Arial Unicode MS"/>
        <family val="2"/>
        <charset val="238"/>
      </rPr>
      <t>Ђ.</t>
    </r>
  </si>
  <si>
    <r>
      <rPr>
        <b/>
        <sz val="9"/>
        <rFont val="Arial Unicode MS"/>
        <family val="2"/>
        <charset val="238"/>
      </rPr>
      <t>НЕТО ПРИЛИВ ГОТОВИНЕ (3047 - 3048)</t>
    </r>
  </si>
  <si>
    <r>
      <rPr>
        <b/>
        <sz val="9"/>
        <rFont val="Arial Unicode MS"/>
        <family val="2"/>
        <charset val="238"/>
      </rPr>
      <t>Е.</t>
    </r>
  </si>
  <si>
    <r>
      <rPr>
        <b/>
        <sz val="9"/>
        <rFont val="Arial Unicode MS"/>
        <family val="2"/>
        <charset val="238"/>
      </rPr>
      <t>НЕТО ОДЛИВ ГОТОВИНЕ (3048 - 3047)</t>
    </r>
  </si>
  <si>
    <r>
      <rPr>
        <b/>
        <sz val="9"/>
        <rFont val="Arial Unicode MS"/>
        <family val="2"/>
        <charset val="238"/>
      </rPr>
      <t>Ж.</t>
    </r>
  </si>
  <si>
    <r>
      <rPr>
        <b/>
        <sz val="9"/>
        <rFont val="Arial Unicode MS"/>
        <family val="2"/>
        <charset val="238"/>
      </rPr>
      <t>ГОТОВИНА НА ПОЧЕТКУ ОБРАЧУНСКОГ ПЕРИОДА</t>
    </r>
  </si>
  <si>
    <r>
      <rPr>
        <b/>
        <sz val="9"/>
        <rFont val="Arial Unicode MS"/>
        <family val="2"/>
        <charset val="238"/>
      </rPr>
      <t>З.</t>
    </r>
  </si>
  <si>
    <r>
      <rPr>
        <b/>
        <sz val="9"/>
        <rFont val="Arial Unicode MS"/>
        <family val="2"/>
        <charset val="238"/>
      </rPr>
      <t>ПОЗИТИВНЕ КУРСНЕ РАЗЛИКЕ ПО ОСНОВУ ПРЕРАЧУНА ГОТОВИНЕ</t>
    </r>
  </si>
  <si>
    <r>
      <rPr>
        <b/>
        <sz val="9"/>
        <rFont val="Arial Unicode MS"/>
        <family val="2"/>
        <charset val="238"/>
      </rPr>
      <t>И.</t>
    </r>
  </si>
  <si>
    <r>
      <rPr>
        <b/>
        <sz val="9"/>
        <rFont val="Arial Unicode MS"/>
        <family val="2"/>
        <charset val="238"/>
      </rPr>
      <t>НЕГАТИВНЕ КУРСНЕ РАЗЛИКЕ ПО ОСНОВУ ПРЕРАЧУНА ГОТОВИНЕ</t>
    </r>
  </si>
  <si>
    <r>
      <rPr>
        <b/>
        <sz val="9"/>
        <rFont val="Arial Unicode MS"/>
        <family val="2"/>
        <charset val="238"/>
      </rPr>
      <t>Ј.</t>
    </r>
  </si>
  <si>
    <r>
      <rPr>
        <b/>
        <sz val="9"/>
        <rFont val="Arial Unicode MS"/>
        <family val="2"/>
        <charset val="238"/>
      </rPr>
      <t>ГОТОВИНА НА КРАЈУ ОБРАЧУНСКОГ ПЕРИОДА (3049 - 3050 + 3051 + 3052 - 3053)</t>
    </r>
  </si>
  <si>
    <t>3. Остали финансијски пласмани - депоновања и улагања (нето oдливи)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</si>
  <si>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</si>
  <si>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</si>
  <si>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</si>
  <si>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</si>
  <si>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</si>
  <si>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</si>
  <si>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</si>
  <si>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</si>
  <si>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</si>
  <si>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31.12.14</t>
  </si>
  <si>
    <t>Текућа година 30.06.2015</t>
  </si>
  <si>
    <t>Претходна година 31.12.2014</t>
  </si>
  <si>
    <t>Крајње стање или стање на дан 30.јун  текуће године (редни бр. 25 + 40 - 41)</t>
  </si>
  <si>
    <t>XXX</t>
  </si>
  <si>
    <t>XXXX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</si>
  <si>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</si>
  <si>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</si>
  <si>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</si>
  <si>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</si>
  <si>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</si>
  <si>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</si>
  <si>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</si>
  <si>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</si>
  <si>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</si>
  <si>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</si>
  <si>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</si>
  <si>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</si>
  <si>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</si>
  <si>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</si>
  <si>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</si>
  <si>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</si>
  <si>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</si>
  <si>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</si>
  <si>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</si>
  <si>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</si>
  <si>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</si>
  <si>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</si>
  <si>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</si>
  <si>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</si>
  <si>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</si>
  <si>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</si>
  <si>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</si>
  <si>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</si>
  <si>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</si>
  <si>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</si>
  <si>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</si>
  <si>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</si>
  <si>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</si>
  <si>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</si>
  <si>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</si>
  <si>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</si>
  <si>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</si>
  <si>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</si>
  <si>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</si>
  <si>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</si>
  <si>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</si>
  <si>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</si>
  <si>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</si>
  <si>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</si>
  <si>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</si>
  <si>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</si>
  <si>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</si>
  <si>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</si>
  <si>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</si>
  <si>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</si>
  <si>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</si>
  <si>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</si>
  <si>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</si>
  <si>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</si>
  <si>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</si>
  <si>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</si>
  <si>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</si>
  <si>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</si>
  <si>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</si>
  <si>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</si>
  <si>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</si>
  <si>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</si>
  <si>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</si>
  <si>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</si>
  <si>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</si>
  <si>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</si>
  <si>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</si>
  <si>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</si>
  <si>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</si>
  <si>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</si>
  <si>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</si>
  <si>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</si>
  <si>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</si>
  <si>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</si>
  <si>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</si>
  <si>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</si>
  <si>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</si>
  <si>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</si>
  <si>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</si>
  <si>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</si>
  <si>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</si>
  <si>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</si>
  <si>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</si>
  <si>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</si>
  <si>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</si>
  <si>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</si>
  <si>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</si>
  <si>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</si>
  <si>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</si>
  <si>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</si>
  <si>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</si>
  <si>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</si>
  <si>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</si>
  <si>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</si>
  <si>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</si>
  <si>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</si>
  <si>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</si>
  <si>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</si>
  <si>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</si>
  <si>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</si>
  <si>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</si>
  <si>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</si>
  <si>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</si>
  <si>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</si>
  <si>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</si>
  <si>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</si>
  <si>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</si>
  <si>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</si>
  <si>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</si>
  <si>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</si>
  <si>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</si>
  <si>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</si>
  <si>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</si>
  <si>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</si>
  <si>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</si>
  <si>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</si>
  <si>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</si>
  <si>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</si>
  <si>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</si>
  <si>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</si>
  <si>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</si>
  <si>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</si>
  <si>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</si>
  <si>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</si>
  <si>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</si>
  <si>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</si>
  <si>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</si>
  <si>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</si>
  <si>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</si>
  <si>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</si>
  <si>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</si>
  <si>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</si>
  <si>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</si>
  <si>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</si>
  <si>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</si>
  <si>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</si>
  <si>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</si>
  <si>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</si>
  <si>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</si>
  <si>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</si>
  <si>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</si>
  <si>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</si>
  <si>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</si>
  <si>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</si>
  <si>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</si>
  <si>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</si>
  <si>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</si>
  <si>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</si>
  <si>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</si>
  <si>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</si>
  <si>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</si>
  <si>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</si>
  <si>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</si>
  <si>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</si>
  <si>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</si>
  <si>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</si>
  <si>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</si>
  <si>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</si>
  <si>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</si>
  <si>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</si>
  <si>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</si>
  <si>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</si>
  <si>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</si>
  <si>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</si>
  <si>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</si>
  <si>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</si>
  <si>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</si>
  <si>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</si>
  <si>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</si>
  <si>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</si>
  <si>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</si>
  <si>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</si>
  <si>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r>
      <rPr>
        <sz val="9"/>
        <rFont val="Calibri"/>
        <family val="2"/>
        <charset val="238"/>
        <scheme val="minor"/>
      </rPr>
      <t>7</t>
    </r>
  </si>
  <si>
    <r>
      <rPr>
        <b/>
        <sz val="9"/>
        <rFont val="Calibri"/>
        <family val="2"/>
        <charset val="238"/>
        <scheme val="minor"/>
      </rPr>
      <t>А К Т И В А</t>
    </r>
  </si>
  <si>
    <r>
      <rPr>
        <sz val="9"/>
        <rFont val="Calibri"/>
        <family val="2"/>
        <charset val="238"/>
        <scheme val="minor"/>
      </rPr>
      <t>0001</t>
    </r>
  </si>
  <si>
    <r>
      <rPr>
        <sz val="9"/>
        <rFont val="Calibri"/>
        <family val="2"/>
        <charset val="238"/>
        <scheme val="minor"/>
      </rPr>
      <t>0002</t>
    </r>
  </si>
  <si>
    <r>
      <rPr>
        <sz val="9"/>
        <rFont val="Calibri"/>
        <family val="2"/>
        <charset val="238"/>
        <scheme val="minor"/>
      </rPr>
      <t>0003</t>
    </r>
  </si>
  <si>
    <r>
      <rPr>
        <sz val="9"/>
        <rFont val="Calibri"/>
        <family val="2"/>
        <charset val="238"/>
        <scheme val="minor"/>
      </rPr>
      <t>0004</t>
    </r>
  </si>
  <si>
    <r>
      <rPr>
        <sz val="9"/>
        <rFont val="Calibri"/>
        <family val="2"/>
        <charset val="238"/>
        <scheme val="minor"/>
      </rPr>
      <t>0005</t>
    </r>
  </si>
  <si>
    <r>
      <rPr>
        <sz val="9"/>
        <rFont val="Calibri"/>
        <family val="2"/>
        <charset val="238"/>
        <scheme val="minor"/>
      </rPr>
      <t>0006</t>
    </r>
  </si>
  <si>
    <r>
      <rPr>
        <sz val="9"/>
        <rFont val="Calibri"/>
        <family val="2"/>
        <charset val="238"/>
        <scheme val="minor"/>
      </rPr>
      <t>0007</t>
    </r>
  </si>
  <si>
    <r>
      <rPr>
        <sz val="9"/>
        <rFont val="Calibri"/>
        <family val="2"/>
        <charset val="238"/>
        <scheme val="minor"/>
      </rPr>
      <t>0008</t>
    </r>
  </si>
  <si>
    <r>
      <rPr>
        <sz val="9"/>
        <rFont val="Calibri"/>
        <family val="2"/>
        <charset val="238"/>
        <scheme val="minor"/>
      </rPr>
      <t>0009</t>
    </r>
  </si>
  <si>
    <r>
      <rPr>
        <sz val="9"/>
        <rFont val="Calibri"/>
        <family val="2"/>
        <charset val="238"/>
        <scheme val="minor"/>
      </rPr>
      <t>0010</t>
    </r>
  </si>
  <si>
    <r>
      <rPr>
        <sz val="9"/>
        <rFont val="Calibri"/>
        <family val="2"/>
        <charset val="238"/>
        <scheme val="minor"/>
      </rPr>
      <t>0011</t>
    </r>
  </si>
  <si>
    <r>
      <rPr>
        <sz val="9"/>
        <rFont val="Calibri"/>
        <family val="2"/>
        <charset val="238"/>
        <scheme val="minor"/>
      </rPr>
      <t>0012</t>
    </r>
  </si>
  <si>
    <r>
      <rPr>
        <sz val="9"/>
        <rFont val="Calibri"/>
        <family val="2"/>
        <charset val="238"/>
        <scheme val="minor"/>
      </rPr>
      <t>0013</t>
    </r>
  </si>
  <si>
    <r>
      <rPr>
        <sz val="9"/>
        <rFont val="Calibri"/>
        <family val="2"/>
        <charset val="238"/>
        <scheme val="minor"/>
      </rPr>
      <t>0014</t>
    </r>
  </si>
  <si>
    <r>
      <rPr>
        <sz val="9"/>
        <rFont val="Calibri"/>
        <family val="2"/>
        <charset val="238"/>
        <scheme val="minor"/>
      </rPr>
      <t>0015</t>
    </r>
  </si>
  <si>
    <r>
      <rPr>
        <sz val="9"/>
        <rFont val="Calibri"/>
        <family val="2"/>
        <charset val="238"/>
        <scheme val="minor"/>
      </rPr>
      <t>0016</t>
    </r>
  </si>
  <si>
    <r>
      <rPr>
        <sz val="9"/>
        <rFont val="Calibri"/>
        <family val="2"/>
        <charset val="238"/>
        <scheme val="minor"/>
      </rPr>
      <t>0017</t>
    </r>
  </si>
  <si>
    <r>
      <rPr>
        <sz val="9"/>
        <rFont val="Calibri"/>
        <family val="2"/>
        <charset val="238"/>
        <scheme val="minor"/>
      </rPr>
      <t>0018</t>
    </r>
  </si>
  <si>
    <r>
      <rPr>
        <sz val="9"/>
        <rFont val="Calibri"/>
        <family val="2"/>
        <charset val="238"/>
        <scheme val="minor"/>
      </rPr>
      <t>0019</t>
    </r>
  </si>
  <si>
    <r>
      <rPr>
        <sz val="9"/>
        <rFont val="Calibri"/>
        <family val="2"/>
        <charset val="238"/>
        <scheme val="minor"/>
      </rPr>
      <t>0020</t>
    </r>
  </si>
  <si>
    <r>
      <rPr>
        <sz val="9"/>
        <rFont val="Calibri"/>
        <family val="2"/>
        <charset val="238"/>
        <scheme val="minor"/>
      </rPr>
      <t>0021</t>
    </r>
  </si>
  <si>
    <r>
      <rPr>
        <sz val="9"/>
        <rFont val="Calibri"/>
        <family val="2"/>
        <charset val="238"/>
        <scheme val="minor"/>
      </rPr>
      <t>0022</t>
    </r>
  </si>
  <si>
    <r>
      <rPr>
        <sz val="9"/>
        <rFont val="Calibri"/>
        <family val="2"/>
        <charset val="238"/>
        <scheme val="minor"/>
      </rPr>
      <t>0023</t>
    </r>
  </si>
  <si>
    <r>
      <rPr>
        <sz val="9"/>
        <rFont val="Calibri"/>
        <family val="2"/>
        <charset val="238"/>
        <scheme val="minor"/>
      </rPr>
      <t>0024</t>
    </r>
  </si>
  <si>
    <r>
      <rPr>
        <sz val="9"/>
        <rFont val="Calibri"/>
        <family val="2"/>
        <charset val="238"/>
        <scheme val="minor"/>
      </rPr>
      <t>0025</t>
    </r>
  </si>
  <si>
    <r>
      <rPr>
        <sz val="9"/>
        <rFont val="Calibri"/>
        <family val="2"/>
        <charset val="238"/>
        <scheme val="minor"/>
      </rPr>
      <t>0026</t>
    </r>
  </si>
  <si>
    <r>
      <rPr>
        <sz val="9"/>
        <rFont val="Calibri"/>
        <family val="2"/>
        <charset val="238"/>
        <scheme val="minor"/>
      </rPr>
      <t>0027</t>
    </r>
  </si>
  <si>
    <r>
      <rPr>
        <sz val="9"/>
        <rFont val="Calibri"/>
        <family val="2"/>
        <charset val="238"/>
        <scheme val="minor"/>
      </rPr>
      <t>0028</t>
    </r>
  </si>
  <si>
    <r>
      <rPr>
        <sz val="9"/>
        <rFont val="Calibri"/>
        <family val="2"/>
        <charset val="238"/>
        <scheme val="minor"/>
      </rPr>
      <t>0029</t>
    </r>
  </si>
  <si>
    <r>
      <rPr>
        <sz val="9"/>
        <rFont val="Calibri"/>
        <family val="2"/>
        <charset val="238"/>
        <scheme val="minor"/>
      </rPr>
      <t>0030</t>
    </r>
  </si>
  <si>
    <r>
      <rPr>
        <sz val="9"/>
        <rFont val="Calibri"/>
        <family val="2"/>
        <charset val="238"/>
        <scheme val="minor"/>
      </rPr>
      <t>0031</t>
    </r>
  </si>
  <si>
    <r>
      <rPr>
        <sz val="9"/>
        <rFont val="Calibri"/>
        <family val="2"/>
        <charset val="238"/>
        <scheme val="minor"/>
      </rPr>
      <t>0032</t>
    </r>
  </si>
  <si>
    <r>
      <rPr>
        <sz val="9"/>
        <rFont val="Calibri"/>
        <family val="2"/>
        <charset val="238"/>
        <scheme val="minor"/>
      </rPr>
      <t>0033</t>
    </r>
  </si>
  <si>
    <r>
      <rPr>
        <sz val="9"/>
        <rFont val="Calibri"/>
        <family val="2"/>
        <charset val="238"/>
        <scheme val="minor"/>
      </rPr>
      <t>0034</t>
    </r>
  </si>
  <si>
    <r>
      <rPr>
        <sz val="9"/>
        <rFont val="Calibri"/>
        <family val="2"/>
        <charset val="238"/>
        <scheme val="minor"/>
      </rPr>
      <t>0035</t>
    </r>
  </si>
  <si>
    <r>
      <rPr>
        <sz val="9"/>
        <rFont val="Calibri"/>
        <family val="2"/>
        <charset val="238"/>
        <scheme val="minor"/>
      </rPr>
      <t>0036</t>
    </r>
  </si>
  <si>
    <r>
      <rPr>
        <sz val="9"/>
        <rFont val="Calibri"/>
        <family val="2"/>
        <charset val="238"/>
        <scheme val="minor"/>
      </rPr>
      <t>0037</t>
    </r>
  </si>
  <si>
    <r>
      <rPr>
        <sz val="9"/>
        <rFont val="Calibri"/>
        <family val="2"/>
        <charset val="238"/>
        <scheme val="minor"/>
      </rPr>
      <t>0038</t>
    </r>
  </si>
  <si>
    <r>
      <rPr>
        <sz val="9"/>
        <rFont val="Calibri"/>
        <family val="2"/>
        <charset val="238"/>
        <scheme val="minor"/>
      </rPr>
      <t>0039</t>
    </r>
  </si>
  <si>
    <r>
      <rPr>
        <sz val="9"/>
        <rFont val="Calibri"/>
        <family val="2"/>
        <charset val="238"/>
        <scheme val="minor"/>
      </rPr>
      <t>0040</t>
    </r>
  </si>
  <si>
    <r>
      <rPr>
        <sz val="9"/>
        <rFont val="Calibri"/>
        <family val="2"/>
        <charset val="238"/>
        <scheme val="minor"/>
      </rPr>
      <t>0041</t>
    </r>
  </si>
  <si>
    <r>
      <rPr>
        <sz val="9"/>
        <rFont val="Calibri"/>
        <family val="2"/>
        <charset val="238"/>
        <scheme val="minor"/>
      </rPr>
      <t>0042</t>
    </r>
  </si>
  <si>
    <r>
      <rPr>
        <sz val="9"/>
        <rFont val="Calibri"/>
        <family val="2"/>
        <charset val="238"/>
        <scheme val="minor"/>
      </rPr>
      <t>0043</t>
    </r>
  </si>
  <si>
    <r>
      <rPr>
        <sz val="9"/>
        <rFont val="Calibri"/>
        <family val="2"/>
        <charset val="238"/>
        <scheme val="minor"/>
      </rPr>
      <t>0044</t>
    </r>
  </si>
  <si>
    <r>
      <rPr>
        <sz val="9"/>
        <rFont val="Calibri"/>
        <family val="2"/>
        <charset val="238"/>
        <scheme val="minor"/>
      </rPr>
      <t>0045</t>
    </r>
  </si>
  <si>
    <r>
      <rPr>
        <sz val="9"/>
        <rFont val="Calibri"/>
        <family val="2"/>
        <charset val="238"/>
        <scheme val="minor"/>
      </rPr>
      <t>0046</t>
    </r>
  </si>
  <si>
    <r>
      <rPr>
        <sz val="9"/>
        <rFont val="Calibri"/>
        <family val="2"/>
        <charset val="238"/>
        <scheme val="minor"/>
      </rPr>
      <t>0047</t>
    </r>
  </si>
  <si>
    <r>
      <rPr>
        <sz val="9"/>
        <rFont val="Calibri"/>
        <family val="2"/>
        <charset val="238"/>
        <scheme val="minor"/>
      </rPr>
      <t>0048</t>
    </r>
  </si>
  <si>
    <r>
      <rPr>
        <sz val="9"/>
        <rFont val="Calibri"/>
        <family val="2"/>
        <charset val="238"/>
        <scheme val="minor"/>
      </rPr>
      <t>0049</t>
    </r>
  </si>
  <si>
    <r>
      <rPr>
        <sz val="9"/>
        <rFont val="Calibri"/>
        <family val="2"/>
        <charset val="238"/>
        <scheme val="minor"/>
      </rPr>
      <t>0050</t>
    </r>
  </si>
  <si>
    <r>
      <rPr>
        <sz val="9"/>
        <rFont val="Calibri"/>
        <family val="2"/>
        <charset val="238"/>
        <scheme val="minor"/>
      </rPr>
      <t>0051</t>
    </r>
  </si>
  <si>
    <r>
      <rPr>
        <sz val="9"/>
        <rFont val="Calibri"/>
        <family val="2"/>
        <charset val="238"/>
        <scheme val="minor"/>
      </rPr>
      <t>0052</t>
    </r>
  </si>
  <si>
    <r>
      <rPr>
        <b/>
        <sz val="9"/>
        <rFont val="Calibri"/>
        <family val="2"/>
        <charset val="238"/>
        <scheme val="minor"/>
      </rPr>
      <t>0053</t>
    </r>
  </si>
  <si>
    <r>
      <rPr>
        <sz val="9"/>
        <rFont val="Calibri"/>
        <family val="2"/>
        <charset val="238"/>
        <scheme val="minor"/>
      </rPr>
      <t>0054</t>
    </r>
  </si>
  <si>
    <t>БИЛАНС СТАЊА</t>
  </si>
  <si>
    <t>Почетно стање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</si>
  <si>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</si>
  <si>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</si>
  <si>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</si>
  <si>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</si>
  <si>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</si>
  <si>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</si>
  <si>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</si>
  <si>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</si>
  <si>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</si>
  <si>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</si>
  <si>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</si>
  <si>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</si>
  <si>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</si>
  <si>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</si>
  <si>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</si>
  <si>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</si>
  <si>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</si>
  <si>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</si>
  <si>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</si>
  <si>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</si>
  <si>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</si>
  <si>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</si>
  <si>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</si>
  <si>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</si>
  <si>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</si>
  <si>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</si>
  <si>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</si>
  <si>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</si>
  <si>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</si>
  <si>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</si>
  <si>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</si>
  <si>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</si>
  <si>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</si>
  <si>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</si>
  <si>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</si>
  <si>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</si>
  <si>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</si>
  <si>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</si>
  <si>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</si>
  <si>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</si>
  <si>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</si>
  <si>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</si>
  <si>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</si>
  <si>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</si>
  <si>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</si>
  <si>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</si>
  <si>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</si>
  <si>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</si>
  <si>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</si>
  <si>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</si>
  <si>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</si>
  <si>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</si>
  <si>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</si>
  <si>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</si>
  <si>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</si>
  <si>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</si>
  <si>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</si>
  <si>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</si>
  <si>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</si>
  <si>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</si>
  <si>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</si>
  <si>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</si>
  <si>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</si>
  <si>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</si>
  <si>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</si>
  <si>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</si>
  <si>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</si>
  <si>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</si>
  <si>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</si>
  <si>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</si>
  <si>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</si>
  <si>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</si>
  <si>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</si>
  <si>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</si>
  <si>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00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</si>
  <si>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</si>
  <si>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</si>
  <si>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</si>
  <si>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</si>
  <si>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</si>
  <si>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</si>
  <si>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</si>
  <si>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</si>
  <si>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</si>
  <si>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</si>
  <si>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</si>
  <si>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</si>
  <si>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</si>
  <si>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</si>
  <si>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</si>
  <si>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</si>
  <si>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</si>
  <si>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</si>
  <si>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</si>
  <si>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</si>
  <si>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</si>
  <si>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</si>
  <si>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</si>
  <si>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</si>
  <si>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</si>
  <si>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</si>
  <si>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</si>
  <si>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</si>
  <si>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</si>
  <si>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</si>
  <si>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</si>
  <si>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</si>
  <si>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</si>
  <si>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</si>
  <si>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</si>
  <si>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</si>
  <si>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</si>
  <si>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</si>
  <si>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</si>
  <si>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</si>
  <si>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</si>
  <si>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</si>
  <si>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</si>
  <si>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</si>
  <si>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</si>
  <si>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</si>
  <si>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</si>
  <si>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</si>
  <si>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</si>
  <si>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</si>
  <si>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</si>
  <si>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</si>
  <si>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</si>
  <si>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</si>
  <si>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</si>
  <si>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</si>
  <si>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</si>
  <si>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</si>
  <si>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</si>
  <si>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</si>
  <si>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</si>
  <si>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</si>
  <si>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</si>
  <si>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</si>
  <si>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</si>
  <si>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</si>
  <si>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</si>
  <si>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</si>
  <si>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</si>
  <si>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</si>
  <si>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</si>
  <si>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</si>
  <si>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</si>
  <si>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</si>
  <si>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</si>
  <si>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</si>
  <si>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</si>
  <si>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</si>
  <si>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</si>
  <si>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</si>
  <si>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</si>
  <si>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</si>
  <si>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</si>
  <si>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</si>
  <si>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</si>
  <si>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</si>
  <si>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</si>
  <si>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</si>
  <si>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</si>
  <si>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</si>
  <si>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</si>
  <si>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</si>
  <si>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</si>
  <si>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</si>
  <si>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</si>
  <si>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</si>
  <si>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</si>
  <si>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</si>
  <si>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</si>
  <si>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</si>
  <si>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</si>
  <si>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</si>
  <si>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</si>
  <si>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</si>
  <si>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</si>
  <si>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</si>
  <si>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</si>
  <si>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</si>
  <si>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</si>
  <si>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</si>
  <si>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</si>
  <si>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</si>
  <si>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</si>
  <si>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</si>
  <si>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</si>
  <si>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</si>
  <si>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</si>
  <si>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</si>
  <si>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</si>
  <si>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</si>
  <si>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</si>
  <si>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</si>
  <si>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</si>
  <si>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</si>
  <si>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</si>
  <si>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</si>
  <si>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</si>
  <si>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</si>
  <si>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</si>
  <si>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</si>
  <si>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</si>
  <si>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</si>
  <si>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</si>
  <si>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</si>
  <si>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</si>
  <si>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</si>
  <si>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</si>
  <si>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</si>
  <si>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</si>
  <si>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</si>
  <si>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</si>
  <si>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</si>
  <si>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</si>
  <si>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</si>
  <si>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</si>
  <si>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</si>
  <si>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</si>
  <si>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</si>
  <si>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</si>
  <si>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</si>
  <si>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</si>
  <si>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</si>
  <si>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</si>
  <si>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</si>
  <si>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</si>
  <si>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</si>
  <si>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</si>
  <si>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</si>
  <si>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</si>
  <si>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</si>
  <si>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</si>
  <si>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</si>
  <si>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</si>
  <si>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</si>
  <si>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</si>
  <si>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</si>
  <si>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</si>
  <si>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</si>
  <si>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</si>
  <si>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</si>
  <si>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</si>
  <si>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</si>
  <si>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</si>
  <si>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</si>
  <si>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</si>
  <si>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</si>
  <si>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</si>
  <si>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</si>
  <si>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</si>
  <si>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</si>
  <si>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</si>
  <si>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</si>
  <si>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</si>
  <si>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</si>
  <si>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</si>
  <si>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</si>
  <si>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</si>
  <si>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</si>
  <si>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</si>
  <si>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</si>
  <si>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</si>
  <si>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</si>
  <si>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</si>
  <si>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</si>
  <si>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</si>
  <si>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</si>
  <si>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</si>
  <si>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</si>
  <si>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</si>
  <si>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</si>
  <si>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</si>
  <si>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</si>
  <si>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</si>
  <si>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</si>
  <si>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</si>
  <si>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</si>
  <si>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</si>
  <si>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</si>
  <si>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</si>
  <si>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</si>
  <si>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</si>
  <si>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</si>
  <si>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</si>
  <si>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</si>
  <si>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</si>
  <si>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</si>
  <si>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</si>
  <si>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</si>
  <si>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</si>
  <si>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</si>
  <si>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</si>
  <si>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</si>
  <si>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</si>
  <si>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</si>
  <si>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</si>
  <si>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</si>
  <si>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</si>
  <si>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</si>
  <si>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</si>
  <si>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</si>
  <si>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</si>
  <si>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</si>
  <si>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</si>
  <si>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</si>
  <si>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</si>
  <si>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</si>
  <si>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</si>
  <si>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</si>
  <si>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</si>
  <si>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</si>
  <si>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</si>
  <si>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</si>
  <si>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</si>
  <si>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</si>
  <si>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</si>
  <si>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</si>
  <si>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</si>
  <si>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</si>
  <si>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</si>
  <si>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</si>
  <si>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</si>
  <si>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</si>
  <si>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</si>
  <si>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</si>
  <si>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</si>
  <si>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</si>
  <si>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</si>
  <si>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</si>
  <si>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</si>
  <si>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</si>
  <si>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6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</si>
  <si>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</si>
  <si>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</si>
  <si>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</si>
  <si>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</si>
  <si>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</si>
  <si>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</si>
  <si>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</si>
  <si>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</si>
  <si>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</si>
  <si>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</si>
  <si>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</si>
  <si>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</si>
  <si>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</si>
  <si>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</si>
  <si>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</si>
  <si>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</si>
  <si>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</si>
  <si>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</si>
  <si>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</si>
  <si>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</si>
  <si>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</si>
  <si>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</si>
  <si>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</si>
  <si>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</si>
  <si>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</si>
  <si>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</si>
  <si>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</si>
  <si>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</si>
  <si>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</si>
  <si>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</si>
  <si>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</si>
  <si>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</si>
  <si>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</si>
  <si>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</si>
  <si>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</si>
  <si>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</si>
  <si>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</si>
  <si>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</si>
  <si>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</si>
  <si>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</si>
  <si>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</si>
  <si>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</si>
  <si>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</si>
  <si>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</si>
  <si>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</si>
  <si>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</si>
  <si>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</si>
  <si>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</si>
  <si>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</si>
  <si>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</si>
  <si>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</si>
  <si>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</si>
  <si>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</si>
  <si>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</si>
  <si>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</si>
  <si>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</si>
  <si>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</si>
  <si>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</si>
  <si>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</si>
  <si>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</si>
  <si>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</si>
  <si>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</si>
  <si>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</si>
  <si>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</si>
  <si>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</si>
  <si>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</si>
  <si>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</si>
  <si>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</si>
  <si>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</si>
  <si>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</si>
  <si>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</si>
  <si>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</si>
  <si>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</si>
  <si>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</si>
  <si>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</si>
  <si>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</si>
  <si>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</si>
  <si>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</si>
  <si>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</si>
  <si>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</si>
  <si>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</si>
  <si>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</si>
  <si>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</si>
  <si>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</si>
  <si>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</si>
  <si>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</si>
  <si>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</si>
  <si>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</si>
  <si>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</si>
  <si>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</si>
  <si>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</si>
  <si>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</si>
  <si>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</si>
  <si>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</si>
  <si>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</si>
  <si>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</si>
  <si>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</si>
  <si>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</si>
  <si>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</si>
  <si>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</si>
  <si>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</si>
  <si>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</si>
  <si>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</si>
  <si>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</si>
  <si>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</si>
  <si>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</si>
  <si>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</si>
  <si>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</si>
  <si>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</si>
  <si>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</si>
  <si>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</si>
  <si>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</si>
  <si>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</si>
  <si>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</si>
  <si>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</si>
  <si>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</si>
  <si>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</si>
  <si>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</si>
  <si>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</si>
  <si>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</si>
  <si>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</si>
  <si>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</si>
  <si>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</si>
  <si>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</si>
  <si>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</si>
  <si>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</si>
  <si>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</si>
  <si>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</si>
  <si>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</si>
  <si>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</si>
  <si>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</si>
  <si>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</si>
  <si>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</si>
  <si>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</si>
  <si>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</si>
  <si>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</si>
  <si>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</si>
  <si>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</si>
  <si>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</si>
  <si>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</si>
  <si>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t>у периоду од 01.01.2015. до 30.06.2015. године</t>
  </si>
  <si>
    <r>
      <rPr>
        <b/>
        <sz val="9"/>
        <rFont val="Arial Unicode MS"/>
        <family val="2"/>
        <charset val="238"/>
      </rPr>
      <t>Позиција</t>
    </r>
  </si>
  <si>
    <r>
      <rPr>
        <b/>
        <sz val="9"/>
        <rFont val="Arial Unicode MS"/>
        <family val="2"/>
        <charset val="238"/>
      </rPr>
      <t>АОП</t>
    </r>
  </si>
  <si>
    <r>
      <rPr>
        <b/>
        <sz val="9"/>
        <rFont val="Arial Unicode MS"/>
        <family val="2"/>
        <charset val="238"/>
      </rPr>
      <t>Износ</t>
    </r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</si>
  <si>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</si>
  <si>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</si>
  <si>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</si>
  <si>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</si>
  <si>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</si>
  <si>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</si>
  <si>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</si>
  <si>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</si>
  <si>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</si>
  <si>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</si>
  <si>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</si>
  <si>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</si>
  <si>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</si>
  <si>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</si>
  <si>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</si>
  <si>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</si>
  <si>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</si>
  <si>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</si>
  <si>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</si>
  <si>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</si>
  <si>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</si>
  <si>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</si>
  <si>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</si>
  <si>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</si>
  <si>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</si>
  <si>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</si>
  <si>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</si>
  <si>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</si>
  <si>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</si>
  <si>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</si>
  <si>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</si>
  <si>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</si>
  <si>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</si>
  <si>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</si>
  <si>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</si>
  <si>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</si>
  <si>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</si>
  <si>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</si>
  <si>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</si>
  <si>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</si>
  <si>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</si>
  <si>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</si>
  <si>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</si>
  <si>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</si>
  <si>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</si>
  <si>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</si>
  <si>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</si>
  <si>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</si>
  <si>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</si>
  <si>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</si>
  <si>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</si>
  <si>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</si>
  <si>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</si>
  <si>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</si>
  <si>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</si>
  <si>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</si>
  <si>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</si>
  <si>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</si>
  <si>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</si>
  <si>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</si>
  <si>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</si>
  <si>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</si>
  <si>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</si>
  <si>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</si>
  <si>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</si>
  <si>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</si>
  <si>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</si>
  <si>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</si>
  <si>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</si>
  <si>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</si>
  <si>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</si>
  <si>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</si>
  <si>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</si>
  <si>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</si>
  <si>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</si>
  <si>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</si>
  <si>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</si>
  <si>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</si>
  <si>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</si>
  <si>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</si>
  <si>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</si>
  <si>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</si>
  <si>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</si>
  <si>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</si>
  <si>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</si>
  <si>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</si>
  <si>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</si>
  <si>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</si>
  <si>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</si>
  <si>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</si>
  <si>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</si>
  <si>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</si>
  <si>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</si>
  <si>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</si>
  <si>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</si>
  <si>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</si>
  <si>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</si>
  <si>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</si>
  <si>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</si>
  <si>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</si>
  <si>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</si>
  <si>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</si>
  <si>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</si>
  <si>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</si>
  <si>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</si>
  <si>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</si>
  <si>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</si>
  <si>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</si>
  <si>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</si>
  <si>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</si>
  <si>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</si>
  <si>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</si>
  <si>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</si>
  <si>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</si>
  <si>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</si>
  <si>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</si>
  <si>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</si>
  <si>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</si>
  <si>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</si>
  <si>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</si>
  <si>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</si>
  <si>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</si>
  <si>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</si>
  <si>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</si>
  <si>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</si>
  <si>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</si>
  <si>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</si>
  <si>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</si>
  <si>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</si>
  <si>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</si>
  <si>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</si>
  <si>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</si>
  <si>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</si>
  <si>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</si>
  <si>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</si>
  <si>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</si>
  <si>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</si>
  <si>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</si>
  <si>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</si>
  <si>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</si>
  <si>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</si>
  <si>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</si>
  <si>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</si>
  <si>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</si>
  <si>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</si>
  <si>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</si>
  <si>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</si>
  <si>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</si>
  <si>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</si>
  <si>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</si>
  <si>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</si>
  <si>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</si>
  <si>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</si>
  <si>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</si>
  <si>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</si>
  <si>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</si>
  <si>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</si>
  <si>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</si>
  <si>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</si>
  <si>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</si>
  <si>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</si>
  <si>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</si>
  <si>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</si>
  <si>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</si>
  <si>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</si>
  <si>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</si>
  <si>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</si>
  <si>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</si>
  <si>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</si>
  <si>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</si>
  <si>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</si>
  <si>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</si>
  <si>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</si>
  <si>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</si>
  <si>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</si>
  <si>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</si>
  <si>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</si>
  <si>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</si>
  <si>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</si>
  <si>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</si>
  <si>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</si>
  <si>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</si>
  <si>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</si>
  <si>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</si>
  <si>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</si>
  <si>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</si>
  <si>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</si>
  <si>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</si>
  <si>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</si>
  <si>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</si>
  <si>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</si>
  <si>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</si>
  <si>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</si>
  <si>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</si>
  <si>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</si>
  <si>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</si>
  <si>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</si>
  <si>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</si>
  <si>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</si>
  <si>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</si>
  <si>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</si>
  <si>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</si>
  <si>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</si>
  <si>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</si>
  <si>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</si>
  <si>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</si>
  <si>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</si>
  <si>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</si>
  <si>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</si>
  <si>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</si>
  <si>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</si>
  <si>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</si>
  <si>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</si>
  <si>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</si>
  <si>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</si>
  <si>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</si>
  <si>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</si>
  <si>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</si>
  <si>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</si>
  <si>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</si>
  <si>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</si>
  <si>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</si>
  <si>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</si>
  <si>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</si>
  <si>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</si>
  <si>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</si>
  <si>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</si>
  <si>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</si>
  <si>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</si>
  <si>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</si>
  <si>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</si>
  <si>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</si>
  <si>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</si>
  <si>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</si>
  <si>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</si>
  <si>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</si>
  <si>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</si>
  <si>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</si>
  <si>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</si>
  <si>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</si>
  <si>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</si>
  <si>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</si>
  <si>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</si>
  <si>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</si>
  <si>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</si>
  <si>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</si>
  <si>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</si>
  <si>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</si>
  <si>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</si>
  <si>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</si>
  <si>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</si>
  <si>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</si>
  <si>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</si>
  <si>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</si>
  <si>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</si>
  <si>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</si>
  <si>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</si>
  <si>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</si>
  <si>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</si>
  <si>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</si>
  <si>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</si>
  <si>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</si>
  <si>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</si>
  <si>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</si>
  <si>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</si>
  <si>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</si>
  <si>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</si>
  <si>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</si>
  <si>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</si>
  <si>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</si>
  <si>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</si>
  <si>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</si>
  <si>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</si>
  <si>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</si>
  <si>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</si>
  <si>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</si>
  <si>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</si>
  <si>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</si>
  <si>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</si>
  <si>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</si>
  <si>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</si>
  <si>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</si>
  <si>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</si>
  <si>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</si>
  <si>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</si>
  <si>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</si>
  <si>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</si>
  <si>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</si>
  <si>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</si>
  <si>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</si>
  <si>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</si>
  <si>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</si>
  <si>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</si>
  <si>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</si>
  <si>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</si>
  <si>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</si>
  <si>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</si>
  <si>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</si>
  <si>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</si>
  <si>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</si>
  <si>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</si>
  <si>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</si>
  <si>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</si>
  <si>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</si>
  <si>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</si>
  <si>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</si>
  <si>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</si>
  <si>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</si>
  <si>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</si>
  <si>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</si>
  <si>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</si>
  <si>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</si>
  <si>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</si>
  <si>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</si>
  <si>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</si>
  <si>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</si>
  <si>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</si>
  <si>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</si>
  <si>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</si>
  <si>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</si>
  <si>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</si>
  <si>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</si>
  <si>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</si>
  <si>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</si>
  <si>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</si>
  <si>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</si>
  <si>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</si>
  <si>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</si>
  <si>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</si>
  <si>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</si>
  <si>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</si>
  <si>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</si>
  <si>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</si>
  <si>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</si>
  <si>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</si>
  <si>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</si>
  <si>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</si>
  <si>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</si>
  <si>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</si>
  <si>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</si>
  <si>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</si>
  <si>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</si>
  <si>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</si>
  <si>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</si>
  <si>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</si>
  <si>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</si>
  <si>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</si>
  <si>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</si>
  <si>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</si>
  <si>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</si>
  <si>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</si>
  <si>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</si>
  <si>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</si>
  <si>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</si>
  <si>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</si>
  <si>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</si>
  <si>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</si>
  <si>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</si>
  <si>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</si>
  <si>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</si>
  <si>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</si>
  <si>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</si>
  <si>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</si>
  <si>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</si>
  <si>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</si>
  <si>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</si>
  <si>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</si>
  <si>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</si>
  <si>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</si>
  <si>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</si>
  <si>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</si>
  <si>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</si>
  <si>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</si>
  <si>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</si>
  <si>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</si>
  <si>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</si>
  <si>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</si>
  <si>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</si>
  <si>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</si>
  <si>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</si>
  <si>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</si>
  <si>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</si>
  <si>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</si>
  <si>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</si>
  <si>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</si>
  <si>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</si>
  <si>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</si>
  <si>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</si>
  <si>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</si>
  <si>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</si>
  <si>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</si>
  <si>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</si>
  <si>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</si>
  <si>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</si>
  <si>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</si>
  <si>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</si>
  <si>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</si>
  <si>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</si>
  <si>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</si>
  <si>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</si>
  <si>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</si>
  <si>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</si>
  <si>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</si>
  <si>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</si>
  <si>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</si>
  <si>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</si>
  <si>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</si>
  <si>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</si>
  <si>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</si>
  <si>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</si>
  <si>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</si>
  <si>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</si>
  <si>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</si>
  <si>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</si>
  <si>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</si>
  <si>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</si>
  <si>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</si>
  <si>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</si>
  <si>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</si>
  <si>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</si>
  <si>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</si>
  <si>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</si>
  <si>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</si>
  <si>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</si>
  <si>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</si>
  <si>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</si>
  <si>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</si>
  <si>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</si>
  <si>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</si>
  <si>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</si>
  <si>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</si>
  <si>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</si>
  <si>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</si>
  <si>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</si>
  <si>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</si>
  <si>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</si>
  <si>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</si>
  <si>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</si>
  <si>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>на дан 31.12.2015.године</t>
  </si>
  <si>
    <t xml:space="preserve"> у периоду од 01.01.2015. до 31.12.2015. године</t>
  </si>
  <si>
    <t xml:space="preserve">Претходна година </t>
  </si>
  <si>
    <t>Текућа година 31.12.2015  rzir preko BU</t>
  </si>
  <si>
    <t>Текућа година  rzir preko BU</t>
  </si>
  <si>
    <t>kontrola</t>
  </si>
  <si>
    <t>у периоду од 01.01.2015. до  31.12.2015. године</t>
  </si>
  <si>
    <t xml:space="preserve">Текућа година </t>
  </si>
  <si>
    <t>01.01.2015 до  31.12.2015.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</si>
</sst>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27" x14ac:knownFonts="1">
    <font>
      <sz val="10"/>
      <name val="Arial"/>
    </font>
    <font>
      <sz val="9"/>
      <name val="Arial Unicode MS"/>
      <family val="2"/>
      <charset val="238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sz val="7"/>
      <name val="Arial Unicode MS"/>
      <family val="2"/>
      <charset val="238"/>
    </font>
    <font>
      <b/>
      <sz val="10"/>
      <name val="Arial"/>
      <family val="2"/>
      <charset val="238"/>
    </font>
    <font>
      <b/>
      <sz val="9"/>
      <name val="Arial Unicode MS"/>
      <family val="2"/>
      <charset val="238"/>
    </font>
    <font>
      <b/>
      <sz val="7"/>
      <name val="Arial Unicode MS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14" fillId="0" borderId="0" xfId="0" applyFont="1"/>
    <xf numFmtId="0" fontId="15" fillId="0" borderId="0" xfId="0" applyFont="1"/>
    <xf numFmtId="0" fontId="14" fillId="0" borderId="9" xfId="0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 wrapText="1"/>
    </xf>
    <xf numFmtId="3" fontId="14" fillId="0" borderId="0" xfId="0" applyNumberFormat="1" applyFont="1"/>
    <xf numFmtId="4" fontId="14" fillId="0" borderId="0" xfId="0" applyNumberFormat="1" applyFont="1"/>
    <xf numFmtId="0" fontId="14" fillId="0" borderId="5" xfId="0" applyFont="1" applyBorder="1" applyAlignment="1">
      <alignment horizontal="left" vertical="top" wrapText="1"/>
    </xf>
    <xf numFmtId="0" fontId="14" fillId="0" borderId="4" xfId="0" applyFont="1" applyBorder="1"/>
    <xf numFmtId="0" fontId="14" fillId="0" borderId="4" xfId="0" applyFont="1" applyBorder="1" applyAlignment="1">
      <alignment horizontal="center" vertical="top"/>
    </xf>
    <xf numFmtId="0" fontId="14" fillId="0" borderId="4" xfId="0" applyFont="1" applyBorder="1" applyAlignment="1">
      <alignment horizontal="right" vertical="top"/>
    </xf>
    <xf numFmtId="0" fontId="14" fillId="0" borderId="4" xfId="0" applyFont="1" applyBorder="1" applyAlignment="1">
      <alignment vertical="top"/>
    </xf>
    <xf numFmtId="0" fontId="19" fillId="0" borderId="0" xfId="0" applyFont="1"/>
    <xf numFmtId="3" fontId="19" fillId="0" borderId="0" xfId="0" applyNumberFormat="1" applyFont="1"/>
    <xf numFmtId="4" fontId="19" fillId="0" borderId="20" xfId="0" applyNumberFormat="1" applyFont="1" applyBorder="1"/>
    <xf numFmtId="0" fontId="21" fillId="0" borderId="4" xfId="0" applyFont="1" applyBorder="1" applyAlignment="1">
      <alignment vertical="top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top"/>
    </xf>
    <xf numFmtId="0" fontId="14" fillId="0" borderId="16" xfId="0" applyFont="1" applyBorder="1" applyAlignment="1">
      <alignment horizontal="center" vertical="top"/>
    </xf>
    <xf numFmtId="0" fontId="21" fillId="0" borderId="0" xfId="0" applyFont="1"/>
    <xf numFmtId="0" fontId="19" fillId="0" borderId="20" xfId="0" applyFont="1" applyBorder="1" applyAlignment="1">
      <alignment vertical="top"/>
    </xf>
    <xf numFmtId="0" fontId="19" fillId="0" borderId="4" xfId="0" applyFont="1" applyBorder="1"/>
    <xf numFmtId="0" fontId="22" fillId="0" borderId="4" xfId="0" applyFont="1" applyBorder="1" applyAlignment="1">
      <alignment vertical="top"/>
    </xf>
    <xf numFmtId="0" fontId="14" fillId="0" borderId="12" xfId="0" applyFont="1" applyBorder="1" applyAlignment="1">
      <alignment horizontal="center" vertical="top"/>
    </xf>
    <xf numFmtId="0" fontId="19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2" fontId="14" fillId="0" borderId="5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top" wrapText="1"/>
    </xf>
    <xf numFmtId="0" fontId="14" fillId="0" borderId="5" xfId="0" applyFont="1" applyBorder="1" applyAlignment="1">
      <alignment vertical="center"/>
    </xf>
    <xf numFmtId="0" fontId="14" fillId="0" borderId="1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22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0" fontId="14" fillId="0" borderId="16" xfId="0" applyFont="1" applyBorder="1" applyAlignment="1">
      <alignment horizontal="left" vertical="center"/>
    </xf>
    <xf numFmtId="0" fontId="14" fillId="0" borderId="22" xfId="0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0" fontId="14" fillId="0" borderId="10" xfId="0" applyFont="1" applyBorder="1" applyAlignment="1">
      <alignment horizontal="left" vertical="center"/>
    </xf>
    <xf numFmtId="3" fontId="15" fillId="0" borderId="5" xfId="0" applyNumberFormat="1" applyFont="1" applyBorder="1" applyAlignment="1">
      <alignment horizontal="right" vertical="center"/>
    </xf>
    <xf numFmtId="3" fontId="15" fillId="0" borderId="10" xfId="0" applyNumberFormat="1" applyFont="1" applyBorder="1" applyAlignment="1">
      <alignment horizontal="right" vertical="center"/>
    </xf>
    <xf numFmtId="3" fontId="14" fillId="0" borderId="5" xfId="0" applyNumberFormat="1" applyFont="1" applyBorder="1" applyAlignment="1">
      <alignment horizontal="right" vertical="center"/>
    </xf>
    <xf numFmtId="3" fontId="14" fillId="0" borderId="10" xfId="0" applyNumberFormat="1" applyFont="1" applyBorder="1" applyAlignment="1">
      <alignment horizontal="right" vertical="center"/>
    </xf>
    <xf numFmtId="3" fontId="14" fillId="0" borderId="0" xfId="0" applyNumberFormat="1" applyFont="1" applyAlignment="1">
      <alignment vertical="center"/>
    </xf>
    <xf numFmtId="3" fontId="14" fillId="0" borderId="5" xfId="0" applyNumberFormat="1" applyFont="1" applyBorder="1" applyAlignment="1">
      <alignment horizontal="left" vertical="center"/>
    </xf>
    <xf numFmtId="3" fontId="14" fillId="0" borderId="10" xfId="0" applyNumberFormat="1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49" fontId="14" fillId="0" borderId="5" xfId="0" applyNumberFormat="1" applyFont="1" applyBorder="1" applyAlignment="1">
      <alignment horizontal="left" vertical="center" wrapText="1"/>
    </xf>
    <xf numFmtId="0" fontId="14" fillId="3" borderId="12" xfId="0" applyFont="1" applyFill="1" applyBorder="1" applyAlignment="1">
      <alignment horizontal="left" vertical="center"/>
    </xf>
    <xf numFmtId="3" fontId="14" fillId="3" borderId="12" xfId="0" applyNumberFormat="1" applyFont="1" applyFill="1" applyBorder="1" applyAlignment="1">
      <alignment horizontal="right" vertical="center"/>
    </xf>
    <xf numFmtId="3" fontId="14" fillId="3" borderId="21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3" fontId="15" fillId="0" borderId="5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vertical="center"/>
    </xf>
    <xf numFmtId="0" fontId="14" fillId="0" borderId="10" xfId="0" applyFont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1" fontId="14" fillId="0" borderId="5" xfId="0" applyNumberFormat="1" applyFont="1" applyBorder="1" applyAlignment="1">
      <alignment horizontal="left" vertical="center" wrapText="1"/>
    </xf>
    <xf numFmtId="1" fontId="14" fillId="0" borderId="10" xfId="0" applyNumberFormat="1" applyFont="1" applyBorder="1" applyAlignment="1">
      <alignment horizontal="left" vertical="center" wrapText="1"/>
    </xf>
    <xf numFmtId="4" fontId="14" fillId="0" borderId="4" xfId="0" applyNumberFormat="1" applyFont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3" fontId="14" fillId="0" borderId="4" xfId="0" applyNumberFormat="1" applyFont="1" applyBorder="1" applyAlignment="1">
      <alignment vertical="center"/>
    </xf>
    <xf numFmtId="1" fontId="14" fillId="0" borderId="10" xfId="0" applyNumberFormat="1" applyFont="1" applyBorder="1" applyAlignment="1">
      <alignment horizontal="left" vertical="center"/>
    </xf>
    <xf numFmtId="165" fontId="14" fillId="0" borderId="0" xfId="0" applyNumberFormat="1" applyFont="1" applyAlignment="1">
      <alignment vertical="center"/>
    </xf>
    <xf numFmtId="0" fontId="14" fillId="0" borderId="4" xfId="0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0" fontId="14" fillId="0" borderId="21" xfId="0" applyFont="1" applyBorder="1" applyAlignment="1">
      <alignment horizontal="left" vertical="center"/>
    </xf>
    <xf numFmtId="0" fontId="14" fillId="0" borderId="4" xfId="0" applyFont="1" applyBorder="1" applyAlignment="1">
      <alignment horizontal="justify" vertical="center"/>
    </xf>
    <xf numFmtId="0" fontId="14" fillId="0" borderId="4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10" fontId="14" fillId="0" borderId="0" xfId="0" applyNumberFormat="1" applyFont="1" applyAlignment="1">
      <alignment vertical="center"/>
    </xf>
    <xf numFmtId="3" fontId="19" fillId="0" borderId="4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left" vertical="center"/>
    </xf>
    <xf numFmtId="3" fontId="19" fillId="0" borderId="17" xfId="0" applyNumberFormat="1" applyFont="1" applyFill="1" applyBorder="1" applyAlignment="1">
      <alignment horizontal="right" vertical="center"/>
    </xf>
    <xf numFmtId="0" fontId="19" fillId="0" borderId="12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3" fontId="19" fillId="0" borderId="0" xfId="0" applyNumberFormat="1" applyFont="1" applyAlignment="1">
      <alignment vertical="center"/>
    </xf>
    <xf numFmtId="0" fontId="19" fillId="0" borderId="20" xfId="0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0" fontId="14" fillId="4" borderId="7" xfId="0" applyFont="1" applyFill="1" applyBorder="1" applyAlignment="1">
      <alignment horizontal="left" vertical="center"/>
    </xf>
    <xf numFmtId="3" fontId="14" fillId="0" borderId="12" xfId="0" applyNumberFormat="1" applyFont="1" applyBorder="1" applyAlignment="1">
      <alignment horizontal="right" vertical="center"/>
    </xf>
    <xf numFmtId="3" fontId="14" fillId="0" borderId="7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vertical="center" wrapText="1"/>
    </xf>
    <xf numFmtId="4" fontId="14" fillId="3" borderId="5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5" fillId="0" borderId="5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0" borderId="4" xfId="0" applyFont="1" applyBorder="1" applyAlignment="1">
      <alignment horizontal="right"/>
    </xf>
    <xf numFmtId="0" fontId="14" fillId="0" borderId="12" xfId="0" applyFont="1" applyFill="1" applyBorder="1" applyAlignment="1">
      <alignment vertical="center" wrapText="1"/>
    </xf>
    <xf numFmtId="0" fontId="19" fillId="0" borderId="18" xfId="0" applyFont="1" applyBorder="1" applyAlignment="1">
      <alignment horizontal="center" vertical="top"/>
    </xf>
    <xf numFmtId="0" fontId="15" fillId="0" borderId="16" xfId="0" applyFont="1" applyBorder="1" applyAlignment="1">
      <alignment vertical="center" wrapText="1"/>
    </xf>
    <xf numFmtId="0" fontId="14" fillId="0" borderId="16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12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22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3" fontId="14" fillId="0" borderId="0" xfId="0" applyNumberFormat="1" applyFont="1" applyAlignment="1">
      <alignment horizontal="center"/>
    </xf>
    <xf numFmtId="0" fontId="19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14" fillId="3" borderId="10" xfId="0" applyNumberFormat="1" applyFont="1" applyFill="1" applyBorder="1" applyAlignment="1">
      <alignment horizontal="right" vertical="center"/>
    </xf>
    <xf numFmtId="3" fontId="14" fillId="2" borderId="5" xfId="0" applyNumberFormat="1" applyFont="1" applyFill="1" applyBorder="1" applyAlignment="1">
      <alignment horizontal="right" vertical="center"/>
    </xf>
    <xf numFmtId="3" fontId="14" fillId="2" borderId="10" xfId="0" applyNumberFormat="1" applyFont="1" applyFill="1" applyBorder="1" applyAlignment="1">
      <alignment horizontal="right" vertical="center"/>
    </xf>
    <xf numFmtId="0" fontId="19" fillId="3" borderId="9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left" vertical="center"/>
    </xf>
    <xf numFmtId="0" fontId="19" fillId="3" borderId="9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right" vertical="center"/>
    </xf>
    <xf numFmtId="0" fontId="14" fillId="3" borderId="10" xfId="0" applyFont="1" applyFill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left" vertical="center"/>
    </xf>
    <xf numFmtId="0" fontId="19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/>
    </xf>
    <xf numFmtId="3" fontId="14" fillId="2" borderId="12" xfId="0" applyNumberFormat="1" applyFont="1" applyFill="1" applyBorder="1" applyAlignment="1">
      <alignment horizontal="right" vertical="center"/>
    </xf>
    <xf numFmtId="3" fontId="14" fillId="2" borderId="21" xfId="0" applyNumberFormat="1" applyFont="1" applyFill="1" applyBorder="1" applyAlignment="1">
      <alignment horizontal="right" vertical="center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right" vertical="center"/>
    </xf>
    <xf numFmtId="3" fontId="14" fillId="0" borderId="8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horizontal="left" vertical="center"/>
    </xf>
    <xf numFmtId="164" fontId="14" fillId="0" borderId="10" xfId="0" applyNumberFormat="1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5" xfId="0" applyNumberFormat="1" applyFont="1" applyFill="1" applyBorder="1" applyAlignment="1">
      <alignment horizontal="right" vertical="center"/>
    </xf>
    <xf numFmtId="3" fontId="14" fillId="0" borderId="10" xfId="0" applyNumberFormat="1" applyFont="1" applyFill="1" applyBorder="1" applyAlignment="1">
      <alignment horizontal="right" vertical="center"/>
    </xf>
    <xf numFmtId="3" fontId="14" fillId="0" borderId="16" xfId="0" applyNumberFormat="1" applyFont="1" applyBorder="1" applyAlignment="1">
      <alignment horizontal="center" vertical="center"/>
    </xf>
    <xf numFmtId="3" fontId="14" fillId="0" borderId="22" xfId="0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top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22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49" fontId="18" fillId="0" borderId="0" xfId="0" applyNumberFormat="1" applyFont="1" applyAlignment="1">
      <alignment horizontal="center"/>
    </xf>
    <xf numFmtId="0" fontId="14" fillId="0" borderId="20" xfId="0" applyFont="1" applyBorder="1"/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center" vertical="center"/>
    </xf>
    <xf numFmtId="3" fontId="14" fillId="0" borderId="16" xfId="0" applyNumberFormat="1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justify" vertical="center"/>
    </xf>
    <xf numFmtId="3" fontId="14" fillId="0" borderId="5" xfId="0" applyNumberFormat="1" applyFont="1" applyBorder="1" applyAlignment="1">
      <alignment horizontal="justify" vertical="center"/>
    </xf>
    <xf numFmtId="0" fontId="18" fillId="0" borderId="5" xfId="0" applyFont="1" applyBorder="1" applyAlignment="1">
      <alignment horizontal="left" vertical="center"/>
    </xf>
    <xf numFmtId="3" fontId="14" fillId="0" borderId="15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23" fillId="0" borderId="1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10" xfId="0" applyNumberFormat="1" applyBorder="1" applyAlignment="1">
      <alignment horizontal="right" vertical="center"/>
    </xf>
    <xf numFmtId="3" fontId="0" fillId="2" borderId="5" xfId="0" applyNumberFormat="1" applyFill="1" applyBorder="1" applyAlignment="1">
      <alignment horizontal="right" vertical="center"/>
    </xf>
    <xf numFmtId="3" fontId="0" fillId="2" borderId="10" xfId="0" applyNumberFormat="1" applyFill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vertical="center" wrapText="1" shrinkToFi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left" vertical="top"/>
    </xf>
    <xf numFmtId="4" fontId="14" fillId="0" borderId="5" xfId="0" applyNumberFormat="1" applyFont="1" applyBorder="1" applyAlignment="1">
      <alignment vertical="center"/>
    </xf>
    <xf numFmtId="4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0" fontId="15" fillId="4" borderId="6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top"/>
    </xf>
    <xf numFmtId="3" fontId="19" fillId="0" borderId="0" xfId="0" applyNumberFormat="1" applyFont="1" applyAlignment="1">
      <alignment horizontal="center"/>
    </xf>
    <xf numFmtId="4" fontId="24" fillId="0" borderId="20" xfId="0" applyNumberFormat="1" applyFont="1" applyBorder="1" applyAlignment="1">
      <alignment horizontal="center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topLeftCell="A61" zoomScaleNormal="100" workbookViewId="0">
      <selection activeCell="H78" sqref="H78"/>
    </sheetView>
  </sheetViews>
  <sheetFormatPr defaultColWidth="40" defaultRowHeight="12.75" x14ac:dyDescent="0.2"/>
  <cols>
    <col min="1" max="1" width="10.28515625" style="18" customWidth="1"/>
    <col min="2" max="2" width="25.7109375" style="18" customWidth="1"/>
    <col min="3" max="3" width="6.7109375" style="18" customWidth="1"/>
    <col min="4" max="4" width="10.7109375" style="18" customWidth="1"/>
    <col min="5" max="5" width="16.7109375" style="18" customWidth="1"/>
    <col min="6" max="7" width="14.7109375" style="18" customWidth="1"/>
    <col min="8" max="16384" width="40" style="18"/>
  </cols>
  <sheetData>
    <row r="1" spans="1:7" ht="18.75" x14ac:dyDescent="0.2">
      <c r="A1" s="64" t="s">
        <v>449</v>
      </c>
    </row>
    <row r="2" spans="1:7" ht="15.75" x14ac:dyDescent="0.2">
      <c r="A2" s="65" t="s">
        <v>150</v>
      </c>
    </row>
    <row r="3" spans="1:7" ht="15.75" x14ac:dyDescent="0.2">
      <c r="A3" s="65" t="s">
        <v>451</v>
      </c>
    </row>
    <row r="4" spans="1:7" ht="15.75" x14ac:dyDescent="0.2">
      <c r="A4" s="65" t="s">
        <v>450</v>
      </c>
    </row>
    <row r="7" spans="1:7" ht="15.75" x14ac:dyDescent="0.2">
      <c r="A7" s="270" t="s">
        <v>377</v>
      </c>
      <c r="B7" s="270"/>
      <c r="C7" s="270"/>
      <c r="D7" s="270"/>
      <c r="E7" s="270"/>
      <c r="F7" s="270"/>
      <c r="G7" s="270"/>
    </row>
    <row r="8" spans="1:7" ht="15.75" x14ac:dyDescent="0.2">
      <c r="A8" s="270" t="s">
        <v>1297</v>
      </c>
      <c r="B8" s="270"/>
      <c r="C8" s="270"/>
      <c r="D8" s="270"/>
      <c r="E8" s="270"/>
      <c r="F8" s="270"/>
      <c r="G8" s="270"/>
    </row>
    <row r="10" spans="1:7" ht="13.5" thickBot="1" x14ac:dyDescent="0.25">
      <c r="G10" s="66" t="s">
        <v>314</v>
      </c>
    </row>
    <row r="11" spans="1:7" s="19" customFormat="1" x14ac:dyDescent="0.2">
      <c r="A11" s="272" t="s">
        <v>380</v>
      </c>
      <c r="B11" s="275" t="s">
        <v>715</v>
      </c>
      <c r="C11" s="275" t="s">
        <v>135</v>
      </c>
      <c r="D11" s="278" t="s">
        <v>89</v>
      </c>
      <c r="E11" s="263"/>
      <c r="F11" s="275"/>
      <c r="G11" s="281"/>
    </row>
    <row r="12" spans="1:7" s="19" customFormat="1" ht="12.75" customHeight="1" x14ac:dyDescent="0.2">
      <c r="A12" s="273"/>
      <c r="B12" s="276"/>
      <c r="C12" s="276"/>
      <c r="D12" s="279"/>
      <c r="E12" s="279" t="s">
        <v>1300</v>
      </c>
      <c r="F12" s="276" t="s">
        <v>90</v>
      </c>
      <c r="G12" s="282"/>
    </row>
    <row r="13" spans="1:7" s="19" customFormat="1" ht="26.25" thickBot="1" x14ac:dyDescent="0.25">
      <c r="A13" s="274"/>
      <c r="B13" s="277"/>
      <c r="C13" s="277"/>
      <c r="D13" s="280"/>
      <c r="E13" s="280"/>
      <c r="F13" s="142" t="s">
        <v>143</v>
      </c>
      <c r="G13" s="143" t="s">
        <v>378</v>
      </c>
    </row>
    <row r="14" spans="1:7" ht="13.5" thickBot="1" x14ac:dyDescent="0.25">
      <c r="A14" s="138" t="s">
        <v>315</v>
      </c>
      <c r="B14" s="139" t="s">
        <v>316</v>
      </c>
      <c r="C14" s="139" t="s">
        <v>317</v>
      </c>
      <c r="D14" s="139" t="s">
        <v>318</v>
      </c>
      <c r="E14" s="139"/>
      <c r="F14" s="139" t="s">
        <v>320</v>
      </c>
      <c r="G14" s="140" t="s">
        <v>321</v>
      </c>
    </row>
    <row r="15" spans="1:7" s="149" customFormat="1" x14ac:dyDescent="0.2">
      <c r="A15" s="144"/>
      <c r="B15" s="145" t="s">
        <v>322</v>
      </c>
      <c r="C15" s="146"/>
      <c r="D15" s="147"/>
      <c r="E15" s="147"/>
      <c r="F15" s="147"/>
      <c r="G15" s="148"/>
    </row>
    <row r="16" spans="1:7" ht="25.5" x14ac:dyDescent="0.2">
      <c r="A16" s="31" t="s">
        <v>453</v>
      </c>
      <c r="B16" s="39" t="s">
        <v>717</v>
      </c>
      <c r="C16" s="43" t="s">
        <v>323</v>
      </c>
      <c r="D16" s="56"/>
      <c r="E16" s="69">
        <v>0</v>
      </c>
      <c r="F16" s="69">
        <v>0</v>
      </c>
      <c r="G16" s="70"/>
    </row>
    <row r="17" spans="1:9" ht="38.25" x14ac:dyDescent="0.2">
      <c r="A17" s="31"/>
      <c r="B17" s="39" t="s">
        <v>718</v>
      </c>
      <c r="C17" s="43" t="s">
        <v>324</v>
      </c>
      <c r="D17" s="56"/>
      <c r="E17" s="71">
        <f>SUM(E18+E19+E20+E21+E24+E25+E36+E37+E36+E37)</f>
        <v>309815</v>
      </c>
      <c r="F17" s="71">
        <f>SUM(F18+F19+F20+F21+F24+F25+F36+F37+F36+F37)</f>
        <v>308112</v>
      </c>
      <c r="G17" s="72">
        <f>SUM(G18+G19+G20+G21+G24+G25+G36+G37)</f>
        <v>67773</v>
      </c>
    </row>
    <row r="18" spans="1:9" ht="33.75" x14ac:dyDescent="0.2">
      <c r="A18" s="31" t="s">
        <v>454</v>
      </c>
      <c r="B18" s="40" t="s">
        <v>719</v>
      </c>
      <c r="C18" s="43" t="s">
        <v>325</v>
      </c>
      <c r="D18" s="56"/>
      <c r="E18" s="73">
        <f>9768-5290</f>
        <v>4478</v>
      </c>
      <c r="F18" s="73">
        <f>9529-3369</f>
        <v>6160</v>
      </c>
      <c r="G18" s="74">
        <v>3336</v>
      </c>
      <c r="I18" s="75">
        <f>+F18+F20+F22</f>
        <v>31664</v>
      </c>
    </row>
    <row r="19" spans="1:9" x14ac:dyDescent="0.2">
      <c r="A19" s="31" t="s">
        <v>455</v>
      </c>
      <c r="B19" s="40" t="s">
        <v>720</v>
      </c>
      <c r="C19" s="43" t="s">
        <v>326</v>
      </c>
      <c r="D19" s="56"/>
      <c r="E19" s="76"/>
      <c r="F19" s="76"/>
      <c r="G19" s="77"/>
    </row>
    <row r="20" spans="1:9" x14ac:dyDescent="0.2">
      <c r="A20" s="31" t="s">
        <v>456</v>
      </c>
      <c r="B20" s="40" t="s">
        <v>721</v>
      </c>
      <c r="C20" s="43" t="s">
        <v>327</v>
      </c>
      <c r="D20" s="56"/>
      <c r="E20" s="73">
        <f>25436-14998+8514</f>
        <v>18952</v>
      </c>
      <c r="F20" s="73">
        <f>25648+6135+897-10176-6135</f>
        <v>16369</v>
      </c>
      <c r="G20" s="74">
        <f>20508+6135+153</f>
        <v>26796</v>
      </c>
    </row>
    <row r="21" spans="1:9" ht="45" x14ac:dyDescent="0.2">
      <c r="A21" s="31" t="s">
        <v>457</v>
      </c>
      <c r="B21" s="40" t="s">
        <v>91</v>
      </c>
      <c r="C21" s="43" t="s">
        <v>328</v>
      </c>
      <c r="D21" s="56"/>
      <c r="E21" s="73">
        <f>SUM(E22+E23)</f>
        <v>9816</v>
      </c>
      <c r="F21" s="73">
        <f>SUM(F22+F23)</f>
        <v>9135</v>
      </c>
      <c r="G21" s="74">
        <f>SUM(G22+G23)</f>
        <v>13081</v>
      </c>
      <c r="I21" s="75">
        <f>+E18+E20+E21</f>
        <v>33246</v>
      </c>
    </row>
    <row r="22" spans="1:9" ht="56.25" x14ac:dyDescent="0.2">
      <c r="A22" s="31" t="s">
        <v>458</v>
      </c>
      <c r="B22" s="40" t="s">
        <v>722</v>
      </c>
      <c r="C22" s="43" t="s">
        <v>329</v>
      </c>
      <c r="D22" s="56"/>
      <c r="E22" s="73">
        <f>33893+83-24160</f>
        <v>9816</v>
      </c>
      <c r="F22" s="73">
        <f>32291+84-23240</f>
        <v>9135</v>
      </c>
      <c r="G22" s="74">
        <f>12997+84</f>
        <v>13081</v>
      </c>
      <c r="I22" s="75">
        <f>+F21+F20+F18</f>
        <v>31664</v>
      </c>
    </row>
    <row r="23" spans="1:9" ht="33.75" x14ac:dyDescent="0.2">
      <c r="A23" s="31" t="s">
        <v>459</v>
      </c>
      <c r="B23" s="40" t="s">
        <v>723</v>
      </c>
      <c r="C23" s="43" t="s">
        <v>330</v>
      </c>
      <c r="D23" s="56"/>
      <c r="E23" s="76"/>
      <c r="F23" s="76"/>
      <c r="G23" s="77"/>
      <c r="I23" s="75"/>
    </row>
    <row r="24" spans="1:9" ht="33.75" x14ac:dyDescent="0.2">
      <c r="A24" s="31" t="s">
        <v>460</v>
      </c>
      <c r="B24" s="37" t="s">
        <v>724</v>
      </c>
      <c r="C24" s="43" t="s">
        <v>331</v>
      </c>
      <c r="D24" s="56"/>
      <c r="E24" s="76"/>
      <c r="F24" s="76"/>
      <c r="G24" s="77"/>
      <c r="I24" s="78"/>
    </row>
    <row r="25" spans="1:9" ht="30.75" customHeight="1" x14ac:dyDescent="0.2">
      <c r="A25" s="31" t="s">
        <v>461</v>
      </c>
      <c r="B25" s="37" t="s">
        <v>725</v>
      </c>
      <c r="C25" s="43" t="s">
        <v>332</v>
      </c>
      <c r="D25" s="56"/>
      <c r="E25" s="73">
        <f>SUM(E26+E30)</f>
        <v>276569</v>
      </c>
      <c r="F25" s="73">
        <f>SUM(F26+F30)</f>
        <v>276448</v>
      </c>
      <c r="G25" s="74">
        <f t="shared" ref="G25" si="0">SUM(G26+G30)</f>
        <v>24560</v>
      </c>
    </row>
    <row r="26" spans="1:9" x14ac:dyDescent="0.2">
      <c r="A26" s="31"/>
      <c r="B26" s="56" t="s">
        <v>726</v>
      </c>
      <c r="C26" s="43" t="s">
        <v>333</v>
      </c>
      <c r="D26" s="56"/>
      <c r="E26" s="73">
        <f>SUM(E27+E28+E29)</f>
        <v>0</v>
      </c>
      <c r="F26" s="73">
        <f>SUM(F27+F28+F29)</f>
        <v>1164</v>
      </c>
      <c r="G26" s="74">
        <f t="shared" ref="G26" si="1">SUM(G27+G28+G29)</f>
        <v>0</v>
      </c>
    </row>
    <row r="27" spans="1:9" x14ac:dyDescent="0.2">
      <c r="A27" s="31" t="s">
        <v>462</v>
      </c>
      <c r="B27" s="56" t="s">
        <v>727</v>
      </c>
      <c r="C27" s="43" t="s">
        <v>334</v>
      </c>
      <c r="D27" s="56"/>
      <c r="E27" s="76"/>
      <c r="F27" s="76"/>
      <c r="G27" s="77"/>
    </row>
    <row r="28" spans="1:9" ht="38.25" x14ac:dyDescent="0.2">
      <c r="A28" s="31" t="s">
        <v>463</v>
      </c>
      <c r="B28" s="37" t="s">
        <v>728</v>
      </c>
      <c r="C28" s="43" t="s">
        <v>335</v>
      </c>
      <c r="D28" s="56"/>
      <c r="E28" s="73">
        <v>0</v>
      </c>
      <c r="F28" s="73">
        <v>1164</v>
      </c>
      <c r="G28" s="74">
        <v>0</v>
      </c>
      <c r="I28" s="78"/>
    </row>
    <row r="29" spans="1:9" ht="22.5" x14ac:dyDescent="0.2">
      <c r="A29" s="31" t="s">
        <v>464</v>
      </c>
      <c r="B29" s="56" t="s">
        <v>729</v>
      </c>
      <c r="C29" s="43" t="s">
        <v>336</v>
      </c>
      <c r="D29" s="56"/>
      <c r="E29" s="76"/>
      <c r="F29" s="76"/>
      <c r="G29" s="77"/>
    </row>
    <row r="30" spans="1:9" ht="39" customHeight="1" x14ac:dyDescent="0.2">
      <c r="A30" s="31"/>
      <c r="B30" s="37" t="s">
        <v>730</v>
      </c>
      <c r="C30" s="43" t="s">
        <v>337</v>
      </c>
      <c r="D30" s="56"/>
      <c r="E30" s="73">
        <f>SUM(E31+E34+E35)</f>
        <v>276569</v>
      </c>
      <c r="F30" s="73">
        <f>SUM(F31+F34+F35)</f>
        <v>275284</v>
      </c>
      <c r="G30" s="74">
        <f t="shared" ref="G30" si="2">SUM(G31+G34+G35)</f>
        <v>24560</v>
      </c>
    </row>
    <row r="31" spans="1:9" ht="25.5" x14ac:dyDescent="0.2">
      <c r="A31" s="31" t="s">
        <v>465</v>
      </c>
      <c r="B31" s="79" t="s">
        <v>731</v>
      </c>
      <c r="C31" s="43" t="s">
        <v>338</v>
      </c>
      <c r="D31" s="56"/>
      <c r="E31" s="73">
        <f>SUM(E32+E33)</f>
        <v>275539</v>
      </c>
      <c r="F31" s="73">
        <f>SUM(F32+F33)</f>
        <v>274219</v>
      </c>
      <c r="G31" s="74">
        <f t="shared" ref="G31" si="3">SUM(G32+G33)</f>
        <v>23460</v>
      </c>
    </row>
    <row r="32" spans="1:9" ht="38.25" x14ac:dyDescent="0.2">
      <c r="A32" s="31" t="s">
        <v>466</v>
      </c>
      <c r="B32" s="37" t="s">
        <v>732</v>
      </c>
      <c r="C32" s="43" t="s">
        <v>339</v>
      </c>
      <c r="D32" s="56"/>
      <c r="E32" s="73">
        <v>275539</v>
      </c>
      <c r="F32" s="73">
        <v>274219</v>
      </c>
      <c r="G32" s="74">
        <v>23460</v>
      </c>
    </row>
    <row r="33" spans="1:12" ht="38.25" x14ac:dyDescent="0.2">
      <c r="A33" s="31" t="s">
        <v>466</v>
      </c>
      <c r="B33" s="37" t="s">
        <v>733</v>
      </c>
      <c r="C33" s="43" t="s">
        <v>340</v>
      </c>
      <c r="D33" s="56"/>
      <c r="E33" s="73"/>
      <c r="F33" s="73"/>
      <c r="G33" s="74"/>
    </row>
    <row r="34" spans="1:12" x14ac:dyDescent="0.2">
      <c r="A34" s="31" t="s">
        <v>467</v>
      </c>
      <c r="B34" s="56" t="s">
        <v>734</v>
      </c>
      <c r="C34" s="43" t="s">
        <v>341</v>
      </c>
      <c r="D34" s="56"/>
      <c r="E34" s="76"/>
      <c r="F34" s="76"/>
      <c r="G34" s="77"/>
    </row>
    <row r="35" spans="1:12" ht="38.25" x14ac:dyDescent="0.2">
      <c r="A35" s="31" t="s">
        <v>464</v>
      </c>
      <c r="B35" s="37" t="s">
        <v>735</v>
      </c>
      <c r="C35" s="43" t="s">
        <v>342</v>
      </c>
      <c r="D35" s="56"/>
      <c r="E35" s="73">
        <f>2453-1423</f>
        <v>1030</v>
      </c>
      <c r="F35" s="73">
        <f>2578-1513</f>
        <v>1065</v>
      </c>
      <c r="G35" s="74">
        <f>2710-1610</f>
        <v>1100</v>
      </c>
    </row>
    <row r="36" spans="1:12" ht="13.5" thickBot="1" x14ac:dyDescent="0.25">
      <c r="A36" s="33" t="s">
        <v>468</v>
      </c>
      <c r="B36" s="59" t="s">
        <v>736</v>
      </c>
      <c r="C36" s="45" t="s">
        <v>343</v>
      </c>
      <c r="D36" s="80"/>
      <c r="E36" s="81"/>
      <c r="F36" s="81"/>
      <c r="G36" s="82"/>
      <c r="H36" s="83"/>
    </row>
    <row r="37" spans="1:12" ht="25.5" x14ac:dyDescent="0.2">
      <c r="A37" s="34" t="s">
        <v>469</v>
      </c>
      <c r="B37" s="55" t="s">
        <v>737</v>
      </c>
      <c r="C37" s="46" t="s">
        <v>344</v>
      </c>
      <c r="D37" s="84"/>
      <c r="E37" s="84"/>
      <c r="F37" s="84"/>
      <c r="G37" s="85"/>
      <c r="I37" s="78"/>
    </row>
    <row r="38" spans="1:12" ht="38.25" x14ac:dyDescent="0.2">
      <c r="A38" s="31"/>
      <c r="B38" s="36" t="s">
        <v>738</v>
      </c>
      <c r="C38" s="43" t="s">
        <v>345</v>
      </c>
      <c r="D38" s="56"/>
      <c r="E38" s="86">
        <f>SUM(E39+E40+E41+E60+E61+E64)</f>
        <v>4468087</v>
      </c>
      <c r="F38" s="86">
        <f>SUM(F39+F40+F41+F60+F61+F64)</f>
        <v>3888486</v>
      </c>
      <c r="G38" s="87">
        <f>SUM(G39+G40+G41+G60+G61+G64)</f>
        <v>3795850</v>
      </c>
      <c r="I38" s="78"/>
    </row>
    <row r="39" spans="1:12" x14ac:dyDescent="0.2">
      <c r="A39" s="31" t="s">
        <v>470</v>
      </c>
      <c r="B39" s="56" t="s">
        <v>739</v>
      </c>
      <c r="C39" s="43" t="s">
        <v>346</v>
      </c>
      <c r="D39" s="56"/>
      <c r="E39" s="73">
        <v>1091</v>
      </c>
      <c r="F39" s="69">
        <v>260</v>
      </c>
      <c r="G39" s="88">
        <v>27</v>
      </c>
      <c r="I39" s="89"/>
    </row>
    <row r="40" spans="1:12" ht="35.1" customHeight="1" x14ac:dyDescent="0.2">
      <c r="A40" s="31" t="s">
        <v>471</v>
      </c>
      <c r="B40" s="37" t="s">
        <v>740</v>
      </c>
      <c r="C40" s="41" t="s">
        <v>347</v>
      </c>
      <c r="D40" s="37"/>
      <c r="E40" s="90"/>
      <c r="F40" s="90"/>
      <c r="G40" s="91"/>
      <c r="I40" s="78"/>
    </row>
    <row r="41" spans="1:12" ht="38.25" x14ac:dyDescent="0.2">
      <c r="A41" s="31"/>
      <c r="B41" s="37" t="s">
        <v>741</v>
      </c>
      <c r="C41" s="43" t="s">
        <v>348</v>
      </c>
      <c r="D41" s="56"/>
      <c r="E41" s="73">
        <f>SUM(E42+E47+E48+E59)</f>
        <v>2644233</v>
      </c>
      <c r="F41" s="73">
        <f>SUM(F42+F47+F48+F59)</f>
        <v>2524292</v>
      </c>
      <c r="G41" s="74">
        <f>SUM(G42+G47+G48+G59)</f>
        <v>3082137</v>
      </c>
      <c r="I41" s="92"/>
      <c r="L41" s="18">
        <v>2896951.26</v>
      </c>
    </row>
    <row r="42" spans="1:12" ht="25.5" x14ac:dyDescent="0.2">
      <c r="A42" s="31"/>
      <c r="B42" s="57" t="s">
        <v>742</v>
      </c>
      <c r="C42" s="43" t="s">
        <v>349</v>
      </c>
      <c r="D42" s="56"/>
      <c r="E42" s="73">
        <f>SUM(E43+E44+E45+E46)</f>
        <v>858827</v>
      </c>
      <c r="F42" s="73">
        <f>SUM(F43+F44+F45+F46)</f>
        <v>618372</v>
      </c>
      <c r="G42" s="74">
        <f t="shared" ref="G42" si="4">SUM(G43+G44+G45+G46)</f>
        <v>792694</v>
      </c>
      <c r="I42" s="92"/>
    </row>
    <row r="43" spans="1:12" ht="38.25" x14ac:dyDescent="0.2">
      <c r="A43" s="31" t="s">
        <v>472</v>
      </c>
      <c r="B43" s="37" t="s">
        <v>743</v>
      </c>
      <c r="C43" s="43" t="s">
        <v>350</v>
      </c>
      <c r="D43" s="56"/>
      <c r="E43" s="267">
        <f>700558+17541+1311-5230-27869-5375</f>
        <v>680936</v>
      </c>
      <c r="F43" s="93">
        <f>469855+32391+1181-11495-895-461-1838+14371-8-1057-5-298</f>
        <v>501741</v>
      </c>
      <c r="G43" s="74">
        <f>856386+23454+1945-100198-105791-430-3641+26322-509-298-6-220</f>
        <v>697014</v>
      </c>
      <c r="I43" s="92"/>
      <c r="J43" s="78"/>
    </row>
    <row r="44" spans="1:12" ht="38.25" x14ac:dyDescent="0.2">
      <c r="A44" s="31" t="s">
        <v>472</v>
      </c>
      <c r="B44" s="37" t="s">
        <v>744</v>
      </c>
      <c r="C44" s="43" t="s">
        <v>351</v>
      </c>
      <c r="D44" s="56"/>
      <c r="E44" s="267">
        <f>2897+271350-95325-26121</f>
        <v>152801</v>
      </c>
      <c r="F44" s="183">
        <f>275393-104440-60903</f>
        <v>110050</v>
      </c>
      <c r="G44" s="74">
        <f>181204-94046-11019</f>
        <v>76139</v>
      </c>
      <c r="I44" s="94"/>
      <c r="J44" s="78"/>
    </row>
    <row r="45" spans="1:12" x14ac:dyDescent="0.2">
      <c r="A45" s="31" t="s">
        <v>473</v>
      </c>
      <c r="B45" s="56" t="s">
        <v>745</v>
      </c>
      <c r="C45" s="43" t="s">
        <v>352</v>
      </c>
      <c r="D45" s="56"/>
      <c r="E45" s="93">
        <v>2036</v>
      </c>
      <c r="F45" s="73">
        <v>756</v>
      </c>
      <c r="G45" s="74">
        <f>4757-33-4</f>
        <v>4720</v>
      </c>
      <c r="I45" s="94"/>
    </row>
    <row r="46" spans="1:12" x14ac:dyDescent="0.2">
      <c r="A46" s="31" t="s">
        <v>474</v>
      </c>
      <c r="B46" s="56" t="s">
        <v>746</v>
      </c>
      <c r="C46" s="43" t="s">
        <v>353</v>
      </c>
      <c r="D46" s="56"/>
      <c r="E46" s="93">
        <v>23054</v>
      </c>
      <c r="F46" s="93">
        <f>6423-5677-530-216+3606+6+1281+3364-2377-55</f>
        <v>5825</v>
      </c>
      <c r="G46" s="74">
        <f>6097+14032+1550+1491+1953-5677-116-2-3564-181-550-87-125</f>
        <v>14821</v>
      </c>
      <c r="I46" s="94"/>
    </row>
    <row r="47" spans="1:12" x14ac:dyDescent="0.2">
      <c r="A47" s="31" t="s">
        <v>475</v>
      </c>
      <c r="B47" s="56" t="s">
        <v>747</v>
      </c>
      <c r="C47" s="43" t="s">
        <v>354</v>
      </c>
      <c r="D47" s="56"/>
      <c r="E47" s="73"/>
      <c r="F47" s="73">
        <v>54549</v>
      </c>
      <c r="G47" s="74">
        <v>35885</v>
      </c>
      <c r="I47" s="94"/>
    </row>
    <row r="48" spans="1:12" x14ac:dyDescent="0.2">
      <c r="A48" s="31"/>
      <c r="B48" s="56" t="s">
        <v>748</v>
      </c>
      <c r="C48" s="43" t="s">
        <v>355</v>
      </c>
      <c r="D48" s="56"/>
      <c r="E48" s="73">
        <f>SUM(E49+E53+E57+E58)</f>
        <v>1402764</v>
      </c>
      <c r="F48" s="73">
        <f>SUM(F49+F53+F57+F58)</f>
        <v>1008490</v>
      </c>
      <c r="G48" s="74">
        <f>SUM(G49+G53+G57+G58)</f>
        <v>1079013</v>
      </c>
      <c r="I48" s="92"/>
    </row>
    <row r="49" spans="1:10" ht="38.25" x14ac:dyDescent="0.2">
      <c r="A49" s="31" t="s">
        <v>476</v>
      </c>
      <c r="B49" s="37" t="s">
        <v>749</v>
      </c>
      <c r="C49" s="43" t="s">
        <v>356</v>
      </c>
      <c r="D49" s="56"/>
      <c r="E49" s="73">
        <f>SUM(E50+E51+E52)</f>
        <v>125629</v>
      </c>
      <c r="F49" s="73">
        <f>SUM(F50+F51+F52)</f>
        <v>505451</v>
      </c>
      <c r="G49" s="74">
        <f t="shared" ref="G49" si="5">SUM(G50+G51+G52)</f>
        <v>300505</v>
      </c>
      <c r="I49" s="78"/>
    </row>
    <row r="50" spans="1:10" ht="38.25" x14ac:dyDescent="0.2">
      <c r="A50" s="31" t="s">
        <v>477</v>
      </c>
      <c r="B50" s="37" t="s">
        <v>750</v>
      </c>
      <c r="C50" s="43" t="s">
        <v>357</v>
      </c>
      <c r="D50" s="56"/>
      <c r="E50" s="73"/>
      <c r="F50" s="73">
        <v>357933</v>
      </c>
      <c r="G50" s="95"/>
      <c r="I50" s="78"/>
    </row>
    <row r="51" spans="1:10" ht="38.25" x14ac:dyDescent="0.2">
      <c r="A51" s="31" t="s">
        <v>477</v>
      </c>
      <c r="B51" s="37" t="s">
        <v>751</v>
      </c>
      <c r="C51" s="43" t="s">
        <v>358</v>
      </c>
      <c r="D51" s="56"/>
      <c r="E51" s="73">
        <f>329562-203933</f>
        <v>125629</v>
      </c>
      <c r="F51" s="73">
        <f>325851-178333</f>
        <v>147518</v>
      </c>
      <c r="G51" s="74">
        <v>300505</v>
      </c>
      <c r="I51" s="78"/>
    </row>
    <row r="52" spans="1:10" ht="51" x14ac:dyDescent="0.2">
      <c r="A52" s="31" t="s">
        <v>477</v>
      </c>
      <c r="B52" s="37" t="s">
        <v>752</v>
      </c>
      <c r="C52" s="43" t="s">
        <v>359</v>
      </c>
      <c r="D52" s="56"/>
      <c r="E52" s="73"/>
      <c r="F52" s="73"/>
      <c r="G52" s="70"/>
      <c r="I52" s="78"/>
    </row>
    <row r="53" spans="1:10" ht="51" x14ac:dyDescent="0.2">
      <c r="A53" s="31" t="s">
        <v>478</v>
      </c>
      <c r="B53" s="37" t="s">
        <v>753</v>
      </c>
      <c r="C53" s="43" t="s">
        <v>360</v>
      </c>
      <c r="D53" s="56"/>
      <c r="E53" s="73">
        <f>SUM(E54+E55+E56)</f>
        <v>1013680</v>
      </c>
      <c r="F53" s="73">
        <f>SUM(F54+F55+F56)</f>
        <v>125795</v>
      </c>
      <c r="G53" s="74">
        <f>SUM(G54+G55+G56)</f>
        <v>115114</v>
      </c>
      <c r="I53" s="78"/>
    </row>
    <row r="54" spans="1:10" ht="51" x14ac:dyDescent="0.2">
      <c r="A54" s="31" t="s">
        <v>479</v>
      </c>
      <c r="B54" s="37" t="s">
        <v>754</v>
      </c>
      <c r="C54" s="43" t="s">
        <v>361</v>
      </c>
      <c r="D54" s="56"/>
      <c r="E54" s="73">
        <v>1013680</v>
      </c>
      <c r="F54" s="73">
        <v>125795</v>
      </c>
      <c r="G54" s="74">
        <v>115114</v>
      </c>
      <c r="I54" s="96"/>
    </row>
    <row r="55" spans="1:10" ht="51" x14ac:dyDescent="0.2">
      <c r="A55" s="31" t="s">
        <v>479</v>
      </c>
      <c r="B55" s="37" t="s">
        <v>755</v>
      </c>
      <c r="C55" s="43" t="s">
        <v>362</v>
      </c>
      <c r="D55" s="56"/>
      <c r="E55" s="56"/>
      <c r="F55" s="56"/>
      <c r="G55" s="70"/>
      <c r="I55" s="78"/>
      <c r="J55" s="78"/>
    </row>
    <row r="56" spans="1:10" ht="63.75" x14ac:dyDescent="0.2">
      <c r="A56" s="31" t="s">
        <v>479</v>
      </c>
      <c r="B56" s="37" t="s">
        <v>756</v>
      </c>
      <c r="C56" s="43" t="s">
        <v>363</v>
      </c>
      <c r="D56" s="56"/>
      <c r="E56" s="56"/>
      <c r="F56" s="56"/>
      <c r="G56" s="70"/>
      <c r="I56" s="78"/>
    </row>
    <row r="57" spans="1:10" x14ac:dyDescent="0.2">
      <c r="A57" s="31" t="s">
        <v>480</v>
      </c>
      <c r="B57" s="56" t="s">
        <v>757</v>
      </c>
      <c r="C57" s="43" t="s">
        <v>364</v>
      </c>
      <c r="D57" s="56"/>
      <c r="E57" s="73">
        <f>385081-121626</f>
        <v>263455</v>
      </c>
      <c r="F57" s="73">
        <f>498202-120958</f>
        <v>377244</v>
      </c>
      <c r="G57" s="74">
        <f>778036-114642</f>
        <v>663394</v>
      </c>
      <c r="H57" s="97"/>
      <c r="I57" s="78"/>
      <c r="J57" s="78"/>
    </row>
    <row r="58" spans="1:10" ht="22.5" x14ac:dyDescent="0.2">
      <c r="A58" s="31" t="s">
        <v>481</v>
      </c>
      <c r="B58" s="56" t="s">
        <v>758</v>
      </c>
      <c r="C58" s="43" t="s">
        <v>365</v>
      </c>
      <c r="D58" s="56"/>
      <c r="E58" s="56"/>
      <c r="F58" s="56"/>
      <c r="G58" s="70"/>
      <c r="I58" s="98"/>
    </row>
    <row r="59" spans="1:10" x14ac:dyDescent="0.2">
      <c r="A59" s="31" t="s">
        <v>482</v>
      </c>
      <c r="B59" s="56" t="s">
        <v>759</v>
      </c>
      <c r="C59" s="43" t="s">
        <v>366</v>
      </c>
      <c r="D59" s="56"/>
      <c r="E59" s="73">
        <f>20087+362454+101</f>
        <v>382642</v>
      </c>
      <c r="F59" s="73">
        <f>70195+703906+68780</f>
        <v>842881</v>
      </c>
      <c r="G59" s="74">
        <f>24591+1150921-967</f>
        <v>1174545</v>
      </c>
    </row>
    <row r="60" spans="1:10" ht="25.5" x14ac:dyDescent="0.2">
      <c r="A60" s="31" t="s">
        <v>483</v>
      </c>
      <c r="B60" s="37" t="s">
        <v>760</v>
      </c>
      <c r="C60" s="43" t="s">
        <v>367</v>
      </c>
      <c r="D60" s="56"/>
      <c r="E60" s="56"/>
      <c r="F60" s="56"/>
      <c r="G60" s="70"/>
    </row>
    <row r="61" spans="1:10" ht="25.5" x14ac:dyDescent="0.2">
      <c r="A61" s="31"/>
      <c r="B61" s="37" t="s">
        <v>761</v>
      </c>
      <c r="C61" s="43" t="s">
        <v>368</v>
      </c>
      <c r="D61" s="56"/>
      <c r="E61" s="73">
        <f>SUM(E62+E63)</f>
        <v>17716</v>
      </c>
      <c r="F61" s="73">
        <f>SUM(F62+F63)</f>
        <v>9260</v>
      </c>
      <c r="G61" s="74">
        <f t="shared" ref="G61" si="6">SUM(G62+G63)</f>
        <v>9012</v>
      </c>
    </row>
    <row r="62" spans="1:10" ht="25.5" x14ac:dyDescent="0.2">
      <c r="A62" s="31" t="s">
        <v>433</v>
      </c>
      <c r="B62" s="37" t="s">
        <v>762</v>
      </c>
      <c r="C62" s="43" t="s">
        <v>369</v>
      </c>
      <c r="D62" s="56"/>
      <c r="E62" s="56"/>
      <c r="F62" s="56"/>
      <c r="G62" s="70"/>
    </row>
    <row r="63" spans="1:10" ht="25.5" x14ac:dyDescent="0.2">
      <c r="A63" s="31" t="s">
        <v>484</v>
      </c>
      <c r="B63" s="37" t="s">
        <v>763</v>
      </c>
      <c r="C63" s="43" t="s">
        <v>370</v>
      </c>
      <c r="D63" s="56"/>
      <c r="E63" s="73">
        <f>688+17028</f>
        <v>17716</v>
      </c>
      <c r="F63" s="73">
        <f>370+8890</f>
        <v>9260</v>
      </c>
      <c r="G63" s="74">
        <f>376+8636</f>
        <v>9012</v>
      </c>
    </row>
    <row r="64" spans="1:10" ht="76.5" x14ac:dyDescent="0.2">
      <c r="A64" s="31"/>
      <c r="B64" s="37" t="s">
        <v>764</v>
      </c>
      <c r="C64" s="43" t="s">
        <v>371</v>
      </c>
      <c r="D64" s="56"/>
      <c r="E64" s="73">
        <f>SUM(E65+E66+E67)</f>
        <v>1805047</v>
      </c>
      <c r="F64" s="73">
        <f>SUM(F65+F66+F67)</f>
        <v>1354674</v>
      </c>
      <c r="G64" s="74">
        <f t="shared" ref="G64" si="7">SUM(G65+G66+G67)</f>
        <v>704674</v>
      </c>
    </row>
    <row r="65" spans="1:11" ht="63.75" x14ac:dyDescent="0.2">
      <c r="A65" s="31" t="s">
        <v>485</v>
      </c>
      <c r="B65" s="37" t="s">
        <v>765</v>
      </c>
      <c r="C65" s="43" t="s">
        <v>372</v>
      </c>
      <c r="D65" s="56"/>
      <c r="E65" s="73">
        <v>372473</v>
      </c>
      <c r="F65" s="73">
        <v>328031</v>
      </c>
      <c r="G65" s="74">
        <v>197253</v>
      </c>
    </row>
    <row r="66" spans="1:11" ht="63.75" x14ac:dyDescent="0.2">
      <c r="A66" s="31" t="s">
        <v>486</v>
      </c>
      <c r="B66" s="37" t="s">
        <v>766</v>
      </c>
      <c r="C66" s="43" t="s">
        <v>373</v>
      </c>
      <c r="D66" s="56"/>
      <c r="E66" s="73">
        <v>1415065</v>
      </c>
      <c r="F66" s="73">
        <v>1009578</v>
      </c>
      <c r="G66" s="74">
        <v>491238</v>
      </c>
    </row>
    <row r="67" spans="1:11" ht="63.75" x14ac:dyDescent="0.2">
      <c r="A67" s="35" t="s">
        <v>452</v>
      </c>
      <c r="B67" s="37" t="s">
        <v>767</v>
      </c>
      <c r="C67" s="43" t="s">
        <v>374</v>
      </c>
      <c r="D67" s="56"/>
      <c r="E67" s="73">
        <v>17509</v>
      </c>
      <c r="F67" s="73">
        <v>17065</v>
      </c>
      <c r="G67" s="74">
        <v>16183</v>
      </c>
    </row>
    <row r="68" spans="1:11" x14ac:dyDescent="0.2">
      <c r="A68" s="35"/>
      <c r="B68" s="58" t="s">
        <v>768</v>
      </c>
      <c r="C68" s="47" t="s">
        <v>375</v>
      </c>
      <c r="D68" s="58"/>
      <c r="E68" s="71">
        <f>SUM(E16+E17+E38)</f>
        <v>4777902</v>
      </c>
      <c r="F68" s="71">
        <f>SUM(F16+F17+F38)</f>
        <v>4196598</v>
      </c>
      <c r="G68" s="72">
        <f>SUM(G16+G17+G38)</f>
        <v>3863623</v>
      </c>
      <c r="I68" s="78"/>
    </row>
    <row r="69" spans="1:11" ht="13.5" thickBot="1" x14ac:dyDescent="0.25">
      <c r="A69" s="35" t="s">
        <v>487</v>
      </c>
      <c r="B69" s="59" t="s">
        <v>769</v>
      </c>
      <c r="C69" s="45" t="s">
        <v>376</v>
      </c>
      <c r="D69" s="59"/>
      <c r="E69" s="59"/>
      <c r="F69" s="59"/>
      <c r="G69" s="99"/>
      <c r="I69" s="78"/>
    </row>
    <row r="70" spans="1:11" x14ac:dyDescent="0.2">
      <c r="A70" s="48"/>
      <c r="B70" s="100"/>
      <c r="C70" s="48"/>
      <c r="D70" s="101"/>
      <c r="E70" s="101"/>
      <c r="F70" s="101"/>
      <c r="G70" s="101"/>
      <c r="I70" s="78"/>
    </row>
    <row r="71" spans="1:11" ht="13.5" thickBot="1" x14ac:dyDescent="0.25">
      <c r="A71" s="48"/>
      <c r="C71" s="19"/>
      <c r="E71" s="78"/>
      <c r="F71" s="78"/>
      <c r="I71" s="78"/>
    </row>
    <row r="72" spans="1:11" x14ac:dyDescent="0.2">
      <c r="A72" s="102"/>
      <c r="B72" s="141" t="s">
        <v>153</v>
      </c>
      <c r="C72" s="49"/>
      <c r="D72" s="103"/>
      <c r="E72" s="117"/>
      <c r="F72" s="117"/>
      <c r="G72" s="117"/>
      <c r="I72" s="78"/>
    </row>
    <row r="73" spans="1:11" ht="38.25" x14ac:dyDescent="0.2">
      <c r="A73" s="31"/>
      <c r="B73" s="39" t="s">
        <v>154</v>
      </c>
      <c r="C73" s="50" t="s">
        <v>155</v>
      </c>
      <c r="D73" s="104"/>
      <c r="E73" s="73">
        <f>SUM(E74+E79+E80+E83+E84-E85+E86-E89-E92+E93)</f>
        <v>1527511</v>
      </c>
      <c r="F73" s="73">
        <f>SUM(F74+F79+F80+F83+F84-F85+F86-F89-F92+F93)</f>
        <v>1183632</v>
      </c>
      <c r="G73" s="73">
        <f>SUM(G74+G79+G80+G83+G84-G85+G86-G89-G92+G93)</f>
        <v>1233043</v>
      </c>
      <c r="I73" s="78"/>
    </row>
    <row r="74" spans="1:11" ht="38.25" x14ac:dyDescent="0.2">
      <c r="A74" s="31"/>
      <c r="B74" s="40" t="s">
        <v>156</v>
      </c>
      <c r="C74" s="50" t="s">
        <v>157</v>
      </c>
      <c r="D74" s="104"/>
      <c r="E74" s="73">
        <f>SUM(E75+E76+E77+E78)</f>
        <v>768246</v>
      </c>
      <c r="F74" s="73">
        <f>SUM(F75+F76+F77+F78)</f>
        <v>768246</v>
      </c>
      <c r="G74" s="73">
        <f t="shared" ref="G74" si="8">SUM(G75+G76+G77+G78)</f>
        <v>768246</v>
      </c>
    </row>
    <row r="75" spans="1:11" x14ac:dyDescent="0.2">
      <c r="A75" s="31">
        <v>300</v>
      </c>
      <c r="B75" s="61" t="s">
        <v>158</v>
      </c>
      <c r="C75" s="50" t="s">
        <v>159</v>
      </c>
      <c r="D75" s="104"/>
      <c r="E75" s="73">
        <v>729747</v>
      </c>
      <c r="F75" s="73">
        <v>729747</v>
      </c>
      <c r="G75" s="73">
        <v>729747</v>
      </c>
      <c r="K75" s="105"/>
    </row>
    <row r="76" spans="1:11" x14ac:dyDescent="0.2">
      <c r="A76" s="31" t="s">
        <v>160</v>
      </c>
      <c r="B76" s="61" t="s">
        <v>161</v>
      </c>
      <c r="C76" s="50" t="s">
        <v>162</v>
      </c>
      <c r="D76" s="104"/>
      <c r="E76" s="73">
        <v>35055</v>
      </c>
      <c r="F76" s="73">
        <v>35055</v>
      </c>
      <c r="G76" s="73">
        <v>35055</v>
      </c>
      <c r="J76" s="106"/>
      <c r="K76" s="105"/>
    </row>
    <row r="77" spans="1:11" x14ac:dyDescent="0.2">
      <c r="A77" s="31" t="s">
        <v>163</v>
      </c>
      <c r="B77" s="61" t="s">
        <v>164</v>
      </c>
      <c r="C77" s="50" t="s">
        <v>165</v>
      </c>
      <c r="D77" s="104"/>
      <c r="E77" s="56"/>
      <c r="F77" s="56"/>
      <c r="G77" s="56"/>
      <c r="H77" s="75">
        <f>+E74+E80+E84+E86</f>
        <v>1528938</v>
      </c>
      <c r="K77" s="105"/>
    </row>
    <row r="78" spans="1:11" x14ac:dyDescent="0.2">
      <c r="A78" s="31" t="s">
        <v>166</v>
      </c>
      <c r="B78" s="61" t="s">
        <v>167</v>
      </c>
      <c r="C78" s="50" t="s">
        <v>168</v>
      </c>
      <c r="D78" s="104"/>
      <c r="E78" s="73">
        <v>3444</v>
      </c>
      <c r="F78" s="73">
        <v>3444</v>
      </c>
      <c r="G78" s="73">
        <v>3444</v>
      </c>
      <c r="J78" s="106"/>
      <c r="K78" s="105"/>
    </row>
    <row r="79" spans="1:11" x14ac:dyDescent="0.2">
      <c r="A79" s="31" t="s">
        <v>169</v>
      </c>
      <c r="B79" s="61" t="s">
        <v>170</v>
      </c>
      <c r="C79" s="50" t="s">
        <v>171</v>
      </c>
      <c r="D79" s="104"/>
      <c r="E79" s="56"/>
      <c r="F79" s="56"/>
      <c r="G79" s="56"/>
      <c r="J79" s="75"/>
      <c r="K79" s="105"/>
    </row>
    <row r="80" spans="1:11" x14ac:dyDescent="0.2">
      <c r="A80" s="31"/>
      <c r="B80" s="61" t="s">
        <v>172</v>
      </c>
      <c r="C80" s="50" t="s">
        <v>173</v>
      </c>
      <c r="D80" s="104"/>
      <c r="E80" s="73">
        <f>SUM(E81+E82)</f>
        <v>211756</v>
      </c>
      <c r="F80" s="73">
        <f>SUM(F81+F82)</f>
        <v>211756</v>
      </c>
      <c r="G80" s="73">
        <f t="shared" ref="G80" si="9">SUM(G81+G82)</f>
        <v>211756</v>
      </c>
    </row>
    <row r="81" spans="1:10" x14ac:dyDescent="0.2">
      <c r="A81" s="31" t="s">
        <v>174</v>
      </c>
      <c r="B81" s="61" t="s">
        <v>175</v>
      </c>
      <c r="C81" s="50" t="s">
        <v>176</v>
      </c>
      <c r="D81" s="104"/>
      <c r="E81" s="73">
        <f>57996</f>
        <v>57996</v>
      </c>
      <c r="F81" s="73">
        <v>57996</v>
      </c>
      <c r="G81" s="73">
        <v>57996</v>
      </c>
    </row>
    <row r="82" spans="1:10" x14ac:dyDescent="0.2">
      <c r="A82" s="31" t="s">
        <v>177</v>
      </c>
      <c r="B82" s="61" t="s">
        <v>178</v>
      </c>
      <c r="C82" s="50" t="s">
        <v>179</v>
      </c>
      <c r="D82" s="104"/>
      <c r="E82" s="73">
        <v>153760</v>
      </c>
      <c r="F82" s="73">
        <f>153737+23</f>
        <v>153760</v>
      </c>
      <c r="G82" s="73">
        <f>153737+23</f>
        <v>153760</v>
      </c>
    </row>
    <row r="83" spans="1:10" ht="76.5" x14ac:dyDescent="0.2">
      <c r="A83" s="31" t="s">
        <v>180</v>
      </c>
      <c r="B83" s="40" t="s">
        <v>181</v>
      </c>
      <c r="C83" s="50" t="s">
        <v>182</v>
      </c>
      <c r="D83" s="104"/>
      <c r="E83" s="56"/>
      <c r="F83" s="56"/>
      <c r="G83" s="56"/>
    </row>
    <row r="84" spans="1:10" x14ac:dyDescent="0.2">
      <c r="A84" s="31" t="s">
        <v>183</v>
      </c>
      <c r="B84" s="61" t="s">
        <v>184</v>
      </c>
      <c r="C84" s="50" t="s">
        <v>185</v>
      </c>
      <c r="D84" s="104"/>
      <c r="E84" s="73">
        <f>15946+24915</f>
        <v>40861</v>
      </c>
      <c r="F84" s="73">
        <f>14861+24321</f>
        <v>39182</v>
      </c>
      <c r="G84" s="73">
        <v>13790</v>
      </c>
    </row>
    <row r="85" spans="1:10" x14ac:dyDescent="0.2">
      <c r="A85" s="31" t="s">
        <v>186</v>
      </c>
      <c r="B85" s="61" t="s">
        <v>187</v>
      </c>
      <c r="C85" s="50" t="s">
        <v>188</v>
      </c>
      <c r="D85" s="104"/>
      <c r="E85" s="69">
        <v>1427</v>
      </c>
      <c r="F85" s="69">
        <v>571</v>
      </c>
      <c r="G85" s="69">
        <v>825</v>
      </c>
    </row>
    <row r="86" spans="1:10" ht="25.5" x14ac:dyDescent="0.2">
      <c r="A86" s="31" t="s">
        <v>189</v>
      </c>
      <c r="B86" s="40" t="s">
        <v>190</v>
      </c>
      <c r="C86" s="50" t="s">
        <v>191</v>
      </c>
      <c r="D86" s="104"/>
      <c r="E86" s="73">
        <f>SUM(E87+E88)</f>
        <v>508075</v>
      </c>
      <c r="F86" s="73">
        <f>SUM(F87+F88)</f>
        <v>240076</v>
      </c>
      <c r="G86" s="73">
        <f t="shared" ref="G86" si="10">SUM(G87+G88)</f>
        <v>363463</v>
      </c>
    </row>
    <row r="87" spans="1:10" x14ac:dyDescent="0.2">
      <c r="A87" s="31" t="s">
        <v>192</v>
      </c>
      <c r="B87" s="61" t="s">
        <v>193</v>
      </c>
      <c r="C87" s="50" t="s">
        <v>194</v>
      </c>
      <c r="D87" s="104"/>
      <c r="E87" s="73">
        <f>165018</f>
        <v>165018</v>
      </c>
      <c r="F87" s="73">
        <v>240076</v>
      </c>
      <c r="G87" s="73">
        <v>363463</v>
      </c>
      <c r="H87" s="18">
        <f>363463-128387-75057</f>
        <v>160019</v>
      </c>
    </row>
    <row r="88" spans="1:10" x14ac:dyDescent="0.2">
      <c r="A88" s="31" t="s">
        <v>195</v>
      </c>
      <c r="B88" s="61" t="s">
        <v>196</v>
      </c>
      <c r="C88" s="50" t="s">
        <v>197</v>
      </c>
      <c r="D88" s="104"/>
      <c r="E88" s="73">
        <v>343057</v>
      </c>
      <c r="F88" s="56"/>
      <c r="G88" s="56"/>
    </row>
    <row r="89" spans="1:10" ht="25.5" x14ac:dyDescent="0.2">
      <c r="A89" s="31" t="s">
        <v>198</v>
      </c>
      <c r="B89" s="40" t="s">
        <v>199</v>
      </c>
      <c r="C89" s="50" t="s">
        <v>200</v>
      </c>
      <c r="D89" s="104"/>
      <c r="E89" s="73">
        <f t="shared" ref="E89" si="11">SUM(E90+E91)</f>
        <v>0</v>
      </c>
      <c r="F89" s="73">
        <f t="shared" ref="F89" si="12">SUM(F90+F91)</f>
        <v>75057</v>
      </c>
      <c r="G89" s="73">
        <f t="shared" ref="G89" si="13">SUM(G90+G91)</f>
        <v>123387</v>
      </c>
      <c r="I89" s="107"/>
    </row>
    <row r="90" spans="1:10" x14ac:dyDescent="0.2">
      <c r="A90" s="31" t="s">
        <v>201</v>
      </c>
      <c r="B90" s="61" t="s">
        <v>202</v>
      </c>
      <c r="C90" s="50" t="s">
        <v>203</v>
      </c>
      <c r="D90" s="104"/>
      <c r="E90" s="56"/>
      <c r="F90" s="56"/>
      <c r="G90" s="76"/>
      <c r="I90" s="107"/>
      <c r="J90" s="78"/>
    </row>
    <row r="91" spans="1:10" x14ac:dyDescent="0.2">
      <c r="A91" s="31" t="s">
        <v>204</v>
      </c>
      <c r="B91" s="61" t="s">
        <v>205</v>
      </c>
      <c r="C91" s="50" t="s">
        <v>206</v>
      </c>
      <c r="D91" s="104"/>
      <c r="E91" s="73"/>
      <c r="F91" s="73">
        <v>75057</v>
      </c>
      <c r="G91" s="73">
        <v>123387</v>
      </c>
    </row>
    <row r="92" spans="1:10" x14ac:dyDescent="0.2">
      <c r="A92" s="31" t="s">
        <v>207</v>
      </c>
      <c r="B92" s="61" t="s">
        <v>208</v>
      </c>
      <c r="C92" s="50" t="s">
        <v>209</v>
      </c>
      <c r="D92" s="104"/>
      <c r="E92" s="56"/>
      <c r="F92" s="56"/>
      <c r="G92" s="56"/>
    </row>
    <row r="93" spans="1:10" x14ac:dyDescent="0.2">
      <c r="A93" s="31"/>
      <c r="B93" s="61" t="s">
        <v>210</v>
      </c>
      <c r="C93" s="50" t="s">
        <v>211</v>
      </c>
      <c r="D93" s="104"/>
      <c r="E93" s="56"/>
      <c r="F93" s="56"/>
      <c r="G93" s="56"/>
    </row>
    <row r="94" spans="1:10" ht="38.25" x14ac:dyDescent="0.2">
      <c r="A94" s="32"/>
      <c r="B94" s="39" t="s">
        <v>212</v>
      </c>
      <c r="C94" s="51" t="s">
        <v>213</v>
      </c>
      <c r="D94" s="108"/>
      <c r="E94" s="71">
        <f>SUM(E95+E102+E106+E107+E116+E125+E129)</f>
        <v>3250391</v>
      </c>
      <c r="F94" s="71">
        <f>SUM(F95+F102+F106+F107+F116+F125+F129)</f>
        <v>3012966</v>
      </c>
      <c r="G94" s="71">
        <f>SUM(G95+G102+G106+G107+G116+G125+G129)</f>
        <v>2630580</v>
      </c>
    </row>
    <row r="95" spans="1:10" ht="38.25" x14ac:dyDescent="0.2">
      <c r="A95" s="31"/>
      <c r="B95" s="40" t="s">
        <v>214</v>
      </c>
      <c r="C95" s="50" t="s">
        <v>215</v>
      </c>
      <c r="D95" s="104"/>
      <c r="E95" s="73">
        <f>SUM(E96+E97+E98+E99+E100+E101)</f>
        <v>34161</v>
      </c>
      <c r="F95" s="73">
        <f>SUM(F96+F97+F98+F99+F100+F101)</f>
        <v>249543</v>
      </c>
      <c r="G95" s="73">
        <f t="shared" ref="G95" si="14">SUM(G96+G97+G98+G99+G100+G101)</f>
        <v>226378</v>
      </c>
      <c r="H95" s="75"/>
      <c r="I95" s="78"/>
    </row>
    <row r="96" spans="1:10" x14ac:dyDescent="0.2">
      <c r="A96" s="31" t="s">
        <v>216</v>
      </c>
      <c r="B96" s="61" t="s">
        <v>217</v>
      </c>
      <c r="C96" s="50" t="s">
        <v>218</v>
      </c>
      <c r="D96" s="104"/>
      <c r="E96" s="73">
        <v>22076</v>
      </c>
      <c r="F96" s="73">
        <v>21585</v>
      </c>
      <c r="G96" s="73">
        <v>20183</v>
      </c>
      <c r="I96" s="109"/>
    </row>
    <row r="97" spans="1:9" ht="51" x14ac:dyDescent="0.2">
      <c r="A97" s="31" t="s">
        <v>219</v>
      </c>
      <c r="B97" s="40" t="s">
        <v>220</v>
      </c>
      <c r="C97" s="50" t="s">
        <v>221</v>
      </c>
      <c r="D97" s="104"/>
      <c r="E97" s="56"/>
      <c r="F97" s="56"/>
      <c r="G97" s="56"/>
      <c r="I97" s="75"/>
    </row>
    <row r="98" spans="1:9" x14ac:dyDescent="0.2">
      <c r="A98" s="31" t="s">
        <v>222</v>
      </c>
      <c r="B98" s="61" t="s">
        <v>223</v>
      </c>
      <c r="C98" s="50" t="s">
        <v>224</v>
      </c>
      <c r="D98" s="104"/>
      <c r="E98" s="73">
        <v>205</v>
      </c>
      <c r="F98" s="73">
        <v>220696</v>
      </c>
      <c r="G98" s="73">
        <v>199453</v>
      </c>
    </row>
    <row r="99" spans="1:9" x14ac:dyDescent="0.2">
      <c r="A99" s="31" t="s">
        <v>225</v>
      </c>
      <c r="B99" s="61" t="s">
        <v>226</v>
      </c>
      <c r="C99" s="50" t="s">
        <v>227</v>
      </c>
      <c r="D99" s="104"/>
      <c r="E99" s="56"/>
      <c r="F99" s="56"/>
      <c r="G99" s="56"/>
    </row>
    <row r="100" spans="1:9" x14ac:dyDescent="0.2">
      <c r="A100" s="31" t="s">
        <v>228</v>
      </c>
      <c r="B100" s="61" t="s">
        <v>229</v>
      </c>
      <c r="C100" s="50" t="s">
        <v>230</v>
      </c>
      <c r="D100" s="104"/>
      <c r="E100" s="56"/>
      <c r="F100" s="56"/>
      <c r="G100" s="56"/>
    </row>
    <row r="101" spans="1:9" x14ac:dyDescent="0.2">
      <c r="A101" s="31" t="s">
        <v>231</v>
      </c>
      <c r="B101" s="61" t="s">
        <v>232</v>
      </c>
      <c r="C101" s="50" t="s">
        <v>233</v>
      </c>
      <c r="D101" s="104"/>
      <c r="E101" s="73">
        <v>11880</v>
      </c>
      <c r="F101" s="73">
        <v>7262</v>
      </c>
      <c r="G101" s="73">
        <v>6742</v>
      </c>
    </row>
    <row r="102" spans="1:9" ht="25.5" x14ac:dyDescent="0.2">
      <c r="A102" s="31"/>
      <c r="B102" s="40" t="s">
        <v>234</v>
      </c>
      <c r="C102" s="50" t="s">
        <v>235</v>
      </c>
      <c r="D102" s="104"/>
      <c r="E102" s="73">
        <f>SUM(E103+E104+E105)</f>
        <v>0</v>
      </c>
      <c r="F102" s="73">
        <f>SUM(F103+F104+F105)</f>
        <v>1457</v>
      </c>
      <c r="G102" s="69">
        <f t="shared" ref="G102" si="15">SUM(G103+G104+G105)</f>
        <v>0</v>
      </c>
    </row>
    <row r="103" spans="1:9" ht="25.5" x14ac:dyDescent="0.2">
      <c r="A103" s="31" t="s">
        <v>236</v>
      </c>
      <c r="B103" s="40" t="s">
        <v>237</v>
      </c>
      <c r="C103" s="50" t="s">
        <v>238</v>
      </c>
      <c r="D103" s="104"/>
      <c r="E103" s="56"/>
      <c r="F103" s="56"/>
      <c r="G103" s="56"/>
    </row>
    <row r="104" spans="1:9" ht="25.5" x14ac:dyDescent="0.2">
      <c r="A104" s="31" t="s">
        <v>239</v>
      </c>
      <c r="B104" s="40" t="s">
        <v>240</v>
      </c>
      <c r="C104" s="50" t="s">
        <v>241</v>
      </c>
      <c r="D104" s="104"/>
      <c r="E104" s="56"/>
      <c r="F104" s="56"/>
      <c r="G104" s="56"/>
    </row>
    <row r="105" spans="1:9" ht="33.75" x14ac:dyDescent="0.2">
      <c r="A105" s="31" t="s">
        <v>242</v>
      </c>
      <c r="B105" s="40" t="s">
        <v>243</v>
      </c>
      <c r="C105" s="50" t="s">
        <v>244</v>
      </c>
      <c r="D105" s="104"/>
      <c r="E105" s="73"/>
      <c r="F105" s="73">
        <v>1457</v>
      </c>
      <c r="G105" s="56"/>
    </row>
    <row r="106" spans="1:9" ht="26.25" thickBot="1" x14ac:dyDescent="0.25">
      <c r="A106" s="33" t="s">
        <v>245</v>
      </c>
      <c r="B106" s="62" t="s">
        <v>246</v>
      </c>
      <c r="C106" s="52" t="s">
        <v>247</v>
      </c>
      <c r="D106" s="110"/>
      <c r="E106" s="118">
        <v>4537</v>
      </c>
      <c r="F106" s="118">
        <v>4484</v>
      </c>
      <c r="G106" s="118">
        <v>2593</v>
      </c>
    </row>
    <row r="107" spans="1:9" ht="38.25" x14ac:dyDescent="0.2">
      <c r="A107" s="34"/>
      <c r="B107" s="63" t="s">
        <v>248</v>
      </c>
      <c r="C107" s="53" t="s">
        <v>249</v>
      </c>
      <c r="D107" s="111"/>
      <c r="E107" s="119">
        <f>SUM(E108+E112+E113+E114+E115)</f>
        <v>862737</v>
      </c>
      <c r="F107" s="119">
        <f>SUM(F108+F112+F113+F114+F115)</f>
        <v>804930</v>
      </c>
      <c r="G107" s="119">
        <f>SUM(G108+G112+G113+G114+G115)</f>
        <v>1038903</v>
      </c>
    </row>
    <row r="108" spans="1:9" ht="25.5" x14ac:dyDescent="0.2">
      <c r="A108" s="31"/>
      <c r="B108" s="40" t="s">
        <v>250</v>
      </c>
      <c r="C108" s="50" t="s">
        <v>251</v>
      </c>
      <c r="D108" s="104"/>
      <c r="E108" s="73">
        <f>SUM(E109+E110+E111)</f>
        <v>1630</v>
      </c>
      <c r="F108" s="73">
        <f>SUM(F109+F110+F111)</f>
        <v>1457</v>
      </c>
      <c r="G108" s="73">
        <f t="shared" ref="G108" si="16">SUM(G109+G110+G111)</f>
        <v>0</v>
      </c>
    </row>
    <row r="109" spans="1:9" ht="25.5" x14ac:dyDescent="0.2">
      <c r="A109" s="31" t="s">
        <v>252</v>
      </c>
      <c r="B109" s="40" t="s">
        <v>237</v>
      </c>
      <c r="C109" s="50" t="s">
        <v>253</v>
      </c>
      <c r="D109" s="104"/>
      <c r="E109" s="56"/>
      <c r="F109" s="56"/>
      <c r="G109" s="56"/>
    </row>
    <row r="110" spans="1:9" ht="25.5" x14ac:dyDescent="0.2">
      <c r="A110" s="31" t="s">
        <v>254</v>
      </c>
      <c r="B110" s="40" t="s">
        <v>240</v>
      </c>
      <c r="C110" s="50" t="s">
        <v>255</v>
      </c>
      <c r="D110" s="104"/>
      <c r="E110" s="56"/>
      <c r="F110" s="56"/>
      <c r="G110" s="56"/>
    </row>
    <row r="111" spans="1:9" ht="33.75" x14ac:dyDescent="0.2">
      <c r="A111" s="31" t="s">
        <v>256</v>
      </c>
      <c r="B111" s="40" t="s">
        <v>257</v>
      </c>
      <c r="C111" s="50" t="s">
        <v>258</v>
      </c>
      <c r="D111" s="104"/>
      <c r="E111" s="73">
        <v>1630</v>
      </c>
      <c r="F111" s="73">
        <v>1457</v>
      </c>
      <c r="G111" s="56"/>
    </row>
    <row r="112" spans="1:9" ht="51" x14ac:dyDescent="0.2">
      <c r="A112" s="31" t="s">
        <v>259</v>
      </c>
      <c r="B112" s="40" t="s">
        <v>260</v>
      </c>
      <c r="C112" s="50" t="s">
        <v>261</v>
      </c>
      <c r="D112" s="104"/>
      <c r="E112" s="56"/>
      <c r="F112" s="56"/>
      <c r="G112" s="56"/>
    </row>
    <row r="113" spans="1:7" ht="25.5" x14ac:dyDescent="0.2">
      <c r="A113" s="31" t="s">
        <v>262</v>
      </c>
      <c r="B113" s="40" t="s">
        <v>263</v>
      </c>
      <c r="C113" s="50" t="s">
        <v>264</v>
      </c>
      <c r="D113" s="104"/>
      <c r="E113" s="73">
        <f>279967+33578+1</f>
        <v>313546</v>
      </c>
      <c r="F113" s="73">
        <f>219764+187465+1</f>
        <v>407230</v>
      </c>
      <c r="G113" s="73">
        <v>317106</v>
      </c>
    </row>
    <row r="114" spans="1:7" ht="30" customHeight="1" x14ac:dyDescent="0.2">
      <c r="A114" s="31" t="s">
        <v>265</v>
      </c>
      <c r="B114" s="40" t="s">
        <v>266</v>
      </c>
      <c r="C114" s="50" t="s">
        <v>267</v>
      </c>
      <c r="D114" s="104"/>
      <c r="E114" s="73">
        <f>1954+469967+42+27765+23404+1853+409+2201+903+30+135+1286+15653+9</f>
        <v>545611</v>
      </c>
      <c r="F114" s="73">
        <f>342017+16+14393+13211+6157+2+411+330+187+3126+30+182+201+15653+16+311</f>
        <v>396243</v>
      </c>
      <c r="G114" s="73">
        <v>721797</v>
      </c>
    </row>
    <row r="115" spans="1:7" ht="25.5" x14ac:dyDescent="0.2">
      <c r="A115" s="31" t="s">
        <v>268</v>
      </c>
      <c r="B115" s="40" t="s">
        <v>269</v>
      </c>
      <c r="C115" s="50" t="s">
        <v>270</v>
      </c>
      <c r="D115" s="104"/>
      <c r="E115" s="73">
        <v>1950</v>
      </c>
      <c r="F115" s="56"/>
      <c r="G115" s="56"/>
    </row>
    <row r="116" spans="1:7" ht="38.25" x14ac:dyDescent="0.2">
      <c r="A116" s="31"/>
      <c r="B116" s="40" t="s">
        <v>271</v>
      </c>
      <c r="C116" s="50" t="s">
        <v>272</v>
      </c>
      <c r="D116" s="104"/>
      <c r="E116" s="73">
        <f>SUM(E117+E121+E122)</f>
        <v>482428</v>
      </c>
      <c r="F116" s="73">
        <f>SUM(F117+F121+F122)</f>
        <v>374847</v>
      </c>
      <c r="G116" s="73">
        <f t="shared" ref="G116" si="17">SUM(G117+G121+G122)</f>
        <v>360023</v>
      </c>
    </row>
    <row r="117" spans="1:7" ht="25.5" x14ac:dyDescent="0.2">
      <c r="A117" s="31"/>
      <c r="B117" s="40" t="s">
        <v>273</v>
      </c>
      <c r="C117" s="50" t="s">
        <v>274</v>
      </c>
      <c r="D117" s="104"/>
      <c r="E117" s="73">
        <f>SUM(E118+E119+E120)</f>
        <v>389252</v>
      </c>
      <c r="F117" s="73">
        <f>SUM(F118+F119+F120)</f>
        <v>341696</v>
      </c>
      <c r="G117" s="73">
        <f t="shared" ref="G117" si="18">SUM(G118+G119+G120)</f>
        <v>211058</v>
      </c>
    </row>
    <row r="118" spans="1:7" ht="25.5" x14ac:dyDescent="0.2">
      <c r="A118" s="31" t="s">
        <v>275</v>
      </c>
      <c r="B118" s="40" t="s">
        <v>276</v>
      </c>
      <c r="C118" s="50" t="s">
        <v>277</v>
      </c>
      <c r="D118" s="104"/>
      <c r="E118" s="56"/>
      <c r="F118" s="56"/>
      <c r="G118" s="56"/>
    </row>
    <row r="119" spans="1:7" ht="25.5" x14ac:dyDescent="0.2">
      <c r="A119" s="31" t="s">
        <v>278</v>
      </c>
      <c r="B119" s="40" t="s">
        <v>279</v>
      </c>
      <c r="C119" s="50" t="s">
        <v>280</v>
      </c>
      <c r="D119" s="104"/>
      <c r="E119" s="56"/>
      <c r="F119" s="56"/>
      <c r="G119" s="56"/>
    </row>
    <row r="120" spans="1:7" x14ac:dyDescent="0.2">
      <c r="A120" s="31" t="s">
        <v>281</v>
      </c>
      <c r="B120" s="40" t="s">
        <v>282</v>
      </c>
      <c r="C120" s="50" t="s">
        <v>283</v>
      </c>
      <c r="D120" s="104"/>
      <c r="E120" s="73">
        <v>389252</v>
      </c>
      <c r="F120" s="73">
        <v>341696</v>
      </c>
      <c r="G120" s="73">
        <v>211058</v>
      </c>
    </row>
    <row r="121" spans="1:7" ht="25.5" x14ac:dyDescent="0.2">
      <c r="A121" s="31" t="s">
        <v>284</v>
      </c>
      <c r="B121" s="40" t="s">
        <v>285</v>
      </c>
      <c r="C121" s="50" t="s">
        <v>286</v>
      </c>
      <c r="D121" s="104"/>
      <c r="E121" s="73">
        <v>11711</v>
      </c>
      <c r="F121" s="56"/>
      <c r="G121" s="56"/>
    </row>
    <row r="122" spans="1:7" ht="25.5" x14ac:dyDescent="0.2">
      <c r="A122" s="31" t="s">
        <v>287</v>
      </c>
      <c r="B122" s="40" t="s">
        <v>288</v>
      </c>
      <c r="C122" s="50" t="s">
        <v>289</v>
      </c>
      <c r="D122" s="104"/>
      <c r="E122" s="73">
        <f t="shared" ref="E122" si="19">SUM(E123+E124)</f>
        <v>81465</v>
      </c>
      <c r="F122" s="73">
        <f>SUM(F123+F124)</f>
        <v>33151</v>
      </c>
      <c r="G122" s="73">
        <f t="shared" ref="G122" si="20">SUM(G123+G124)</f>
        <v>148965</v>
      </c>
    </row>
    <row r="123" spans="1:7" ht="38.25" x14ac:dyDescent="0.2">
      <c r="A123" s="31" t="s">
        <v>290</v>
      </c>
      <c r="B123" s="40" t="s">
        <v>291</v>
      </c>
      <c r="C123" s="50" t="s">
        <v>292</v>
      </c>
      <c r="D123" s="104"/>
      <c r="E123" s="56"/>
      <c r="F123" s="56"/>
      <c r="G123" s="56"/>
    </row>
    <row r="124" spans="1:7" ht="38.25" x14ac:dyDescent="0.2">
      <c r="A124" s="31" t="s">
        <v>293</v>
      </c>
      <c r="B124" s="40" t="s">
        <v>294</v>
      </c>
      <c r="C124" s="50" t="s">
        <v>295</v>
      </c>
      <c r="D124" s="104"/>
      <c r="E124" s="73">
        <f>14119+67346</f>
        <v>81465</v>
      </c>
      <c r="F124" s="73">
        <f>15036+18115</f>
        <v>33151</v>
      </c>
      <c r="G124" s="73">
        <v>148965</v>
      </c>
    </row>
    <row r="125" spans="1:7" ht="25.5" x14ac:dyDescent="0.2">
      <c r="A125" s="31"/>
      <c r="B125" s="40" t="s">
        <v>296</v>
      </c>
      <c r="C125" s="50" t="s">
        <v>297</v>
      </c>
      <c r="D125" s="104"/>
      <c r="E125" s="73">
        <f>SUM(E126+E127+E128)</f>
        <v>1866528</v>
      </c>
      <c r="F125" s="73">
        <f>SUM(F126+F127+F128)</f>
        <v>1577705</v>
      </c>
      <c r="G125" s="69">
        <f t="shared" ref="G125" si="21">SUM(G126+G127+G128)</f>
        <v>1002683</v>
      </c>
    </row>
    <row r="126" spans="1:7" ht="25.5" x14ac:dyDescent="0.2">
      <c r="A126" s="31" t="s">
        <v>298</v>
      </c>
      <c r="B126" s="40" t="s">
        <v>276</v>
      </c>
      <c r="C126" s="50" t="s">
        <v>299</v>
      </c>
      <c r="D126" s="104"/>
      <c r="E126" s="56"/>
      <c r="F126" s="56"/>
      <c r="G126" s="56"/>
    </row>
    <row r="127" spans="1:7" ht="25.5" x14ac:dyDescent="0.2">
      <c r="A127" s="31" t="s">
        <v>300</v>
      </c>
      <c r="B127" s="40" t="s">
        <v>279</v>
      </c>
      <c r="C127" s="50" t="s">
        <v>301</v>
      </c>
      <c r="D127" s="104"/>
      <c r="E127" s="56"/>
      <c r="F127" s="56"/>
      <c r="G127" s="56"/>
    </row>
    <row r="128" spans="1:7" ht="25.5" x14ac:dyDescent="0.2">
      <c r="A128" s="31" t="s">
        <v>302</v>
      </c>
      <c r="B128" s="40" t="s">
        <v>303</v>
      </c>
      <c r="C128" s="50" t="s">
        <v>304</v>
      </c>
      <c r="D128" s="104"/>
      <c r="E128" s="73">
        <v>1866528</v>
      </c>
      <c r="F128" s="73">
        <v>1577705</v>
      </c>
      <c r="G128" s="73">
        <v>1002683</v>
      </c>
    </row>
    <row r="129" spans="1:10" ht="38.25" x14ac:dyDescent="0.2">
      <c r="A129" s="31" t="s">
        <v>284</v>
      </c>
      <c r="B129" s="40" t="s">
        <v>305</v>
      </c>
      <c r="C129" s="50" t="s">
        <v>306</v>
      </c>
      <c r="D129" s="104"/>
      <c r="E129" s="56"/>
      <c r="F129" s="56"/>
      <c r="G129" s="56"/>
    </row>
    <row r="130" spans="1:10" ht="25.5" x14ac:dyDescent="0.2">
      <c r="A130" s="31" t="s">
        <v>198</v>
      </c>
      <c r="B130" s="40" t="s">
        <v>307</v>
      </c>
      <c r="C130" s="50" t="s">
        <v>308</v>
      </c>
      <c r="D130" s="104"/>
      <c r="E130" s="56"/>
      <c r="F130" s="56"/>
      <c r="G130" s="56"/>
    </row>
    <row r="131" spans="1:10" ht="25.5" x14ac:dyDescent="0.2">
      <c r="A131" s="32"/>
      <c r="B131" s="39" t="s">
        <v>309</v>
      </c>
      <c r="C131" s="51" t="s">
        <v>310</v>
      </c>
      <c r="D131" s="108"/>
      <c r="E131" s="71">
        <f>SUM(E73+E94-E130)</f>
        <v>4777902</v>
      </c>
      <c r="F131" s="71">
        <f>SUM(F73+F94-F130)</f>
        <v>4196598</v>
      </c>
      <c r="G131" s="71">
        <f>SUM(G73+G94-G130)</f>
        <v>3863623</v>
      </c>
    </row>
    <row r="132" spans="1:10" ht="13.5" thickBot="1" x14ac:dyDescent="0.25">
      <c r="A132" s="33" t="s">
        <v>311</v>
      </c>
      <c r="B132" s="62" t="s">
        <v>312</v>
      </c>
      <c r="C132" s="52" t="s">
        <v>313</v>
      </c>
      <c r="D132" s="110"/>
      <c r="E132" s="59"/>
      <c r="F132" s="59"/>
      <c r="G132" s="59"/>
    </row>
    <row r="133" spans="1:10" x14ac:dyDescent="0.2">
      <c r="A133" s="54"/>
      <c r="B133" s="112"/>
      <c r="C133" s="54"/>
      <c r="D133" s="112"/>
      <c r="E133" s="112"/>
      <c r="F133" s="112"/>
      <c r="G133" s="112"/>
    </row>
    <row r="134" spans="1:10" x14ac:dyDescent="0.2">
      <c r="A134" s="113"/>
      <c r="B134" s="54" t="s">
        <v>152</v>
      </c>
      <c r="C134" s="54"/>
      <c r="D134" s="112"/>
      <c r="E134" s="114"/>
      <c r="F134" s="271" t="s">
        <v>151</v>
      </c>
      <c r="G134" s="271"/>
    </row>
    <row r="135" spans="1:10" x14ac:dyDescent="0.2">
      <c r="A135" s="54"/>
      <c r="B135" s="112"/>
      <c r="C135" s="54"/>
      <c r="D135" s="112" t="s">
        <v>1302</v>
      </c>
      <c r="E135" s="114">
        <f>+E131-E68</f>
        <v>0</v>
      </c>
      <c r="F135" s="114">
        <f t="shared" ref="F135:G135" si="22">+F131-F68</f>
        <v>0</v>
      </c>
      <c r="G135" s="114">
        <f t="shared" si="22"/>
        <v>0</v>
      </c>
      <c r="I135" s="78"/>
    </row>
    <row r="136" spans="1:10" x14ac:dyDescent="0.2">
      <c r="A136" s="113"/>
      <c r="B136" s="115"/>
      <c r="C136" s="54"/>
      <c r="D136" s="112"/>
      <c r="E136" s="112"/>
      <c r="F136" s="116"/>
      <c r="G136" s="115"/>
      <c r="I136" s="78"/>
      <c r="J136" s="78"/>
    </row>
    <row r="137" spans="1:10" x14ac:dyDescent="0.2">
      <c r="A137" s="19"/>
      <c r="C137" s="19"/>
      <c r="F137" s="78"/>
      <c r="G137" s="78"/>
      <c r="I137" s="78"/>
      <c r="J137" s="78"/>
    </row>
    <row r="138" spans="1:10" x14ac:dyDescent="0.2">
      <c r="B138" s="75"/>
      <c r="C138" s="19"/>
      <c r="F138" s="78"/>
      <c r="G138" s="78"/>
      <c r="I138" s="78"/>
      <c r="J138" s="78"/>
    </row>
    <row r="139" spans="1:10" x14ac:dyDescent="0.2">
      <c r="B139" s="75"/>
      <c r="C139" s="19"/>
      <c r="F139" s="78"/>
      <c r="G139" s="78"/>
      <c r="H139" s="78"/>
      <c r="I139" s="78"/>
      <c r="J139" s="78"/>
    </row>
    <row r="140" spans="1:10" x14ac:dyDescent="0.2">
      <c r="B140" s="75"/>
      <c r="C140" s="19"/>
      <c r="I140" s="78"/>
      <c r="J140" s="78"/>
    </row>
    <row r="141" spans="1:10" x14ac:dyDescent="0.2">
      <c r="B141" s="75"/>
      <c r="C141" s="19"/>
      <c r="I141" s="78"/>
      <c r="J141" s="78"/>
    </row>
    <row r="142" spans="1:10" x14ac:dyDescent="0.2">
      <c r="B142" s="75"/>
      <c r="C142" s="19"/>
      <c r="I142" s="78"/>
      <c r="J142" s="78"/>
    </row>
    <row r="143" spans="1:10" x14ac:dyDescent="0.2">
      <c r="B143" s="75"/>
      <c r="C143" s="19"/>
      <c r="I143" s="78"/>
      <c r="J143" s="78"/>
    </row>
    <row r="144" spans="1:10" x14ac:dyDescent="0.2">
      <c r="B144" s="75"/>
      <c r="C144" s="19"/>
      <c r="I144" s="78"/>
      <c r="J144" s="78"/>
    </row>
    <row r="145" spans="2:11" x14ac:dyDescent="0.2">
      <c r="B145" s="98"/>
      <c r="C145" s="19"/>
      <c r="E145" s="78"/>
      <c r="I145" s="78"/>
      <c r="J145" s="78"/>
    </row>
    <row r="146" spans="2:11" x14ac:dyDescent="0.2">
      <c r="B146" s="98"/>
      <c r="C146" s="19"/>
      <c r="E146" s="78"/>
      <c r="I146" s="78"/>
      <c r="J146" s="78"/>
    </row>
    <row r="147" spans="2:11" x14ac:dyDescent="0.2">
      <c r="B147" s="75"/>
      <c r="C147" s="19"/>
      <c r="E147" s="78"/>
      <c r="I147" s="78"/>
      <c r="J147" s="78"/>
    </row>
    <row r="148" spans="2:11" x14ac:dyDescent="0.2">
      <c r="B148" s="75"/>
      <c r="C148" s="19"/>
      <c r="I148" s="78"/>
      <c r="J148" s="78"/>
    </row>
    <row r="149" spans="2:11" x14ac:dyDescent="0.2">
      <c r="B149" s="75"/>
      <c r="C149" s="19"/>
      <c r="I149" s="78"/>
      <c r="J149" s="78"/>
    </row>
    <row r="150" spans="2:11" x14ac:dyDescent="0.2">
      <c r="B150" s="75"/>
      <c r="C150" s="19"/>
      <c r="I150" s="78"/>
      <c r="J150" s="78"/>
    </row>
    <row r="151" spans="2:11" x14ac:dyDescent="0.2">
      <c r="B151" s="98"/>
      <c r="C151" s="259"/>
      <c r="D151" s="260"/>
      <c r="E151" s="260"/>
      <c r="I151" s="78"/>
      <c r="J151" s="78"/>
    </row>
    <row r="152" spans="2:11" x14ac:dyDescent="0.2">
      <c r="B152" s="98"/>
      <c r="C152" s="19"/>
      <c r="I152" s="78"/>
      <c r="J152" s="78"/>
    </row>
    <row r="153" spans="2:11" x14ac:dyDescent="0.2">
      <c r="B153" s="98"/>
      <c r="C153" s="19"/>
      <c r="I153" s="78"/>
      <c r="J153" s="78"/>
    </row>
    <row r="154" spans="2:11" x14ac:dyDescent="0.2">
      <c r="B154" s="98"/>
      <c r="C154" s="19"/>
      <c r="I154" s="78"/>
      <c r="J154" s="78"/>
    </row>
    <row r="155" spans="2:11" x14ac:dyDescent="0.2">
      <c r="B155" s="98"/>
      <c r="C155" s="19"/>
      <c r="I155" s="78"/>
      <c r="J155" s="78"/>
    </row>
    <row r="156" spans="2:11" x14ac:dyDescent="0.2">
      <c r="B156" s="98"/>
      <c r="C156" s="259"/>
      <c r="D156" s="260"/>
      <c r="E156" s="260"/>
      <c r="F156" s="261"/>
      <c r="J156" s="78"/>
      <c r="K156" s="78"/>
    </row>
    <row r="157" spans="2:11" x14ac:dyDescent="0.2">
      <c r="B157" s="98"/>
      <c r="C157" s="19"/>
      <c r="J157" s="78"/>
      <c r="K157" s="78"/>
    </row>
    <row r="158" spans="2:11" x14ac:dyDescent="0.2">
      <c r="B158" s="262"/>
      <c r="C158" s="19"/>
      <c r="J158" s="78"/>
      <c r="K158" s="78"/>
    </row>
    <row r="159" spans="2:11" x14ac:dyDescent="0.2">
      <c r="B159" s="262"/>
      <c r="C159" s="19"/>
      <c r="J159" s="78"/>
      <c r="K159" s="78"/>
    </row>
    <row r="160" spans="2:11" x14ac:dyDescent="0.2">
      <c r="B160" s="262"/>
      <c r="C160" s="19"/>
      <c r="J160" s="78"/>
      <c r="K160" s="78"/>
    </row>
    <row r="161" spans="2:11" x14ac:dyDescent="0.2">
      <c r="B161" s="98"/>
      <c r="C161" s="19"/>
      <c r="J161" s="78"/>
      <c r="K161" s="78"/>
    </row>
    <row r="162" spans="2:11" x14ac:dyDescent="0.2">
      <c r="B162" s="75"/>
      <c r="C162" s="19"/>
      <c r="J162" s="78"/>
      <c r="K162" s="78"/>
    </row>
    <row r="163" spans="2:11" x14ac:dyDescent="0.2">
      <c r="B163" s="98"/>
      <c r="C163" s="19"/>
    </row>
    <row r="164" spans="2:11" x14ac:dyDescent="0.2">
      <c r="B164" s="75"/>
      <c r="C164" s="19"/>
    </row>
    <row r="165" spans="2:11" x14ac:dyDescent="0.2">
      <c r="B165" s="75"/>
      <c r="C165" s="19"/>
    </row>
    <row r="166" spans="2:11" x14ac:dyDescent="0.2">
      <c r="B166" s="258"/>
    </row>
    <row r="167" spans="2:11" x14ac:dyDescent="0.2">
      <c r="B167" s="98"/>
    </row>
    <row r="168" spans="2:11" x14ac:dyDescent="0.2">
      <c r="B168" s="75"/>
    </row>
    <row r="171" spans="2:11" x14ac:dyDescent="0.2">
      <c r="B171" s="75"/>
    </row>
    <row r="172" spans="2:11" x14ac:dyDescent="0.2">
      <c r="B172" s="75"/>
    </row>
    <row r="173" spans="2:11" x14ac:dyDescent="0.2">
      <c r="B173" s="75"/>
    </row>
  </sheetData>
  <mergeCells count="10">
    <mergeCell ref="A7:G7"/>
    <mergeCell ref="A8:G8"/>
    <mergeCell ref="F134:G134"/>
    <mergeCell ref="A11:A13"/>
    <mergeCell ref="B11:B13"/>
    <mergeCell ref="C11:C13"/>
    <mergeCell ref="D11:D13"/>
    <mergeCell ref="F11:G11"/>
    <mergeCell ref="F12:G12"/>
    <mergeCell ref="E12:E13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2"/>
  <sheetViews>
    <sheetView tabSelected="1" view="pageLayout" topLeftCell="A119" zoomScale="130" zoomScaleNormal="100" zoomScalePageLayoutView="130" workbookViewId="0">
      <selection activeCell="C137" sqref="C137:F139"/>
    </sheetView>
  </sheetViews>
  <sheetFormatPr defaultRowHeight="15.75" x14ac:dyDescent="0.25"/>
  <cols>
    <col min="1" max="1" width="12.28515625" style="22" customWidth="1"/>
    <col min="2" max="2" width="48.7109375" style="1" customWidth="1"/>
    <col min="3" max="3" width="9.7109375" style="17" customWidth="1"/>
    <col min="4" max="4" width="4.7109375" style="1" customWidth="1"/>
    <col min="5" max="5" width="14.7109375" style="1" customWidth="1"/>
    <col min="6" max="6" width="17.5703125" style="1" customWidth="1"/>
    <col min="7" max="10" width="9.140625" style="1"/>
    <col min="11" max="11" width="18.7109375" style="1" customWidth="1"/>
    <col min="12" max="16384" width="9.140625" style="1"/>
  </cols>
  <sheetData>
    <row r="1" spans="1:6" ht="18.75" x14ac:dyDescent="0.2">
      <c r="A1" s="25" t="s">
        <v>449</v>
      </c>
    </row>
    <row r="2" spans="1:6" x14ac:dyDescent="0.2">
      <c r="A2" s="16" t="s">
        <v>150</v>
      </c>
    </row>
    <row r="3" spans="1:6" x14ac:dyDescent="0.2">
      <c r="A3" s="16" t="s">
        <v>451</v>
      </c>
    </row>
    <row r="4" spans="1:6" x14ac:dyDescent="0.2">
      <c r="A4" s="16" t="s">
        <v>450</v>
      </c>
    </row>
    <row r="5" spans="1:6" ht="12.75" customHeight="1" x14ac:dyDescent="0.25"/>
    <row r="6" spans="1:6" ht="12.75" customHeight="1" x14ac:dyDescent="0.25"/>
    <row r="7" spans="1:6" ht="15.75" customHeight="1" x14ac:dyDescent="0.2">
      <c r="A7" s="283" t="s">
        <v>379</v>
      </c>
      <c r="B7" s="283"/>
      <c r="C7" s="283"/>
      <c r="D7" s="283"/>
      <c r="E7" s="283"/>
      <c r="F7" s="283"/>
    </row>
    <row r="8" spans="1:6" ht="16.5" customHeight="1" x14ac:dyDescent="0.2">
      <c r="A8" s="283" t="s">
        <v>1298</v>
      </c>
      <c r="B8" s="283"/>
      <c r="C8" s="283"/>
      <c r="D8" s="283"/>
      <c r="E8" s="283"/>
      <c r="F8" s="283"/>
    </row>
    <row r="9" spans="1:6" ht="12.75" customHeight="1" x14ac:dyDescent="0.25"/>
    <row r="10" spans="1:6" ht="12.75" customHeight="1" x14ac:dyDescent="0.2">
      <c r="A10" s="16"/>
    </row>
    <row r="11" spans="1:6" ht="12.75" customHeight="1" thickBot="1" x14ac:dyDescent="0.3">
      <c r="F11" s="128" t="s">
        <v>314</v>
      </c>
    </row>
    <row r="12" spans="1:6" s="2" customFormat="1" ht="12.75" x14ac:dyDescent="0.2">
      <c r="A12" s="286" t="s">
        <v>380</v>
      </c>
      <c r="B12" s="275" t="s">
        <v>715</v>
      </c>
      <c r="C12" s="278" t="s">
        <v>709</v>
      </c>
      <c r="D12" s="278" t="s">
        <v>710</v>
      </c>
      <c r="E12" s="288"/>
      <c r="F12" s="281"/>
    </row>
    <row r="13" spans="1:6" s="2" customFormat="1" ht="26.25" thickBot="1" x14ac:dyDescent="0.25">
      <c r="A13" s="287"/>
      <c r="B13" s="277"/>
      <c r="C13" s="280"/>
      <c r="D13" s="280"/>
      <c r="E13" s="264" t="s">
        <v>1301</v>
      </c>
      <c r="F13" s="143" t="s">
        <v>1299</v>
      </c>
    </row>
    <row r="14" spans="1:6" ht="13.5" thickBot="1" x14ac:dyDescent="0.25">
      <c r="A14" s="135" t="s">
        <v>381</v>
      </c>
      <c r="B14" s="136" t="s">
        <v>711</v>
      </c>
      <c r="C14" s="136" t="s">
        <v>712</v>
      </c>
      <c r="D14" s="136" t="s">
        <v>713</v>
      </c>
      <c r="E14" s="265"/>
      <c r="F14" s="137" t="s">
        <v>714</v>
      </c>
    </row>
    <row r="15" spans="1:6" ht="12.75" customHeight="1" x14ac:dyDescent="0.2">
      <c r="A15" s="130"/>
      <c r="B15" s="131" t="s">
        <v>488</v>
      </c>
      <c r="C15" s="21"/>
      <c r="D15" s="132"/>
      <c r="E15" s="266"/>
      <c r="F15" s="133"/>
    </row>
    <row r="16" spans="1:6" s="18" customFormat="1" ht="26.25" customHeight="1" x14ac:dyDescent="0.2">
      <c r="A16" s="35"/>
      <c r="B16" s="40" t="s">
        <v>382</v>
      </c>
      <c r="C16" s="43" t="s">
        <v>489</v>
      </c>
      <c r="D16" s="56"/>
      <c r="E16" s="73">
        <f>SUM(E17+E24+E29+E30)</f>
        <v>418502</v>
      </c>
      <c r="F16" s="74">
        <f>SUM(F17+F24+F29+F30)</f>
        <v>367285</v>
      </c>
    </row>
    <row r="17" spans="1:11" s="18" customFormat="1" ht="24.95" customHeight="1" x14ac:dyDescent="0.2">
      <c r="A17" s="35"/>
      <c r="B17" s="120" t="s">
        <v>490</v>
      </c>
      <c r="C17" s="43" t="s">
        <v>491</v>
      </c>
      <c r="D17" s="56"/>
      <c r="E17" s="73">
        <f>SUM(E18+E19-E20-E21-E22+E23)</f>
        <v>0</v>
      </c>
      <c r="F17" s="74">
        <f>SUM(F18+F19-F20-F21-F22+F23)</f>
        <v>0</v>
      </c>
    </row>
    <row r="18" spans="1:11" s="18" customFormat="1" ht="12.75" x14ac:dyDescent="0.2">
      <c r="A18" s="31" t="s">
        <v>383</v>
      </c>
      <c r="B18" s="61" t="s">
        <v>492</v>
      </c>
      <c r="C18" s="43" t="s">
        <v>493</v>
      </c>
      <c r="D18" s="56"/>
      <c r="E18" s="76"/>
      <c r="F18" s="77"/>
    </row>
    <row r="19" spans="1:11" s="18" customFormat="1" ht="12.75" x14ac:dyDescent="0.2">
      <c r="A19" s="35" t="s">
        <v>384</v>
      </c>
      <c r="B19" s="61" t="s">
        <v>494</v>
      </c>
      <c r="C19" s="43" t="s">
        <v>495</v>
      </c>
      <c r="D19" s="56"/>
      <c r="E19" s="76"/>
      <c r="F19" s="77"/>
    </row>
    <row r="20" spans="1:11" s="18" customFormat="1" ht="17.25" customHeight="1" x14ac:dyDescent="0.2">
      <c r="A20" s="31" t="s">
        <v>385</v>
      </c>
      <c r="B20" s="61" t="s">
        <v>496</v>
      </c>
      <c r="C20" s="43" t="s">
        <v>497</v>
      </c>
      <c r="D20" s="56"/>
      <c r="E20" s="76"/>
      <c r="F20" s="77"/>
    </row>
    <row r="21" spans="1:11" s="18" customFormat="1" ht="18" customHeight="1" x14ac:dyDescent="0.2">
      <c r="A21" s="31" t="s">
        <v>385</v>
      </c>
      <c r="B21" s="61" t="s">
        <v>498</v>
      </c>
      <c r="C21" s="43" t="s">
        <v>499</v>
      </c>
      <c r="D21" s="56"/>
      <c r="E21" s="76"/>
      <c r="F21" s="77"/>
    </row>
    <row r="22" spans="1:11" s="18" customFormat="1" ht="28.5" customHeight="1" x14ac:dyDescent="0.2">
      <c r="A22" s="31" t="s">
        <v>386</v>
      </c>
      <c r="B22" s="40" t="s">
        <v>500</v>
      </c>
      <c r="C22" s="43" t="s">
        <v>501</v>
      </c>
      <c r="D22" s="56"/>
      <c r="E22" s="76"/>
      <c r="F22" s="77"/>
    </row>
    <row r="23" spans="1:11" s="18" customFormat="1" ht="30" customHeight="1" x14ac:dyDescent="0.2">
      <c r="A23" s="31" t="s">
        <v>386</v>
      </c>
      <c r="B23" s="40" t="s">
        <v>502</v>
      </c>
      <c r="C23" s="43" t="s">
        <v>503</v>
      </c>
      <c r="D23" s="56"/>
      <c r="E23" s="76"/>
      <c r="F23" s="77"/>
    </row>
    <row r="24" spans="1:11" s="18" customFormat="1" ht="25.5" x14ac:dyDescent="0.2">
      <c r="A24" s="35"/>
      <c r="B24" s="40" t="s">
        <v>504</v>
      </c>
      <c r="C24" s="43" t="s">
        <v>505</v>
      </c>
      <c r="D24" s="56"/>
      <c r="E24" s="73">
        <f>+E25-E26-E27+E28</f>
        <v>418502</v>
      </c>
      <c r="F24" s="74">
        <f>SUM(F25-F26-F27+F28)</f>
        <v>367285</v>
      </c>
    </row>
    <row r="25" spans="1:11" s="18" customFormat="1" ht="12.75" x14ac:dyDescent="0.2">
      <c r="A25" s="31" t="s">
        <v>142</v>
      </c>
      <c r="B25" s="61" t="s">
        <v>506</v>
      </c>
      <c r="C25" s="43" t="s">
        <v>507</v>
      </c>
      <c r="D25" s="56"/>
      <c r="E25" s="73">
        <f>122740+2349980+188806</f>
        <v>2661526</v>
      </c>
      <c r="F25" s="74">
        <f>2272490+57217-4817</f>
        <v>2324890</v>
      </c>
    </row>
    <row r="26" spans="1:11" s="18" customFormat="1" ht="25.5" x14ac:dyDescent="0.2">
      <c r="A26" s="31" t="s">
        <v>385</v>
      </c>
      <c r="B26" s="40" t="s">
        <v>508</v>
      </c>
      <c r="C26" s="43" t="s">
        <v>509</v>
      </c>
      <c r="D26" s="56"/>
      <c r="E26" s="73">
        <f>106601+2088851+16</f>
        <v>2195468</v>
      </c>
      <c r="F26" s="74">
        <f>1775528+56158-4720</f>
        <v>1826966</v>
      </c>
    </row>
    <row r="27" spans="1:11" s="18" customFormat="1" ht="29.25" customHeight="1" x14ac:dyDescent="0.2">
      <c r="A27" s="31" t="s">
        <v>386</v>
      </c>
      <c r="B27" s="40" t="s">
        <v>510</v>
      </c>
      <c r="C27" s="43" t="s">
        <v>511</v>
      </c>
      <c r="D27" s="56"/>
      <c r="E27" s="73">
        <f>79484-31912-16</f>
        <v>47556</v>
      </c>
      <c r="F27" s="74">
        <v>130639</v>
      </c>
    </row>
    <row r="28" spans="1:11" s="18" customFormat="1" ht="31.5" customHeight="1" x14ac:dyDescent="0.2">
      <c r="A28" s="31" t="s">
        <v>386</v>
      </c>
      <c r="B28" s="40" t="s">
        <v>512</v>
      </c>
      <c r="C28" s="43" t="s">
        <v>513</v>
      </c>
      <c r="D28" s="56"/>
      <c r="E28" s="76"/>
      <c r="F28" s="74"/>
    </row>
    <row r="29" spans="1:11" s="18" customFormat="1" ht="25.5" x14ac:dyDescent="0.2">
      <c r="A29" s="31" t="s">
        <v>387</v>
      </c>
      <c r="B29" s="40" t="s">
        <v>514</v>
      </c>
      <c r="C29" s="43" t="s">
        <v>515</v>
      </c>
      <c r="D29" s="56"/>
      <c r="E29" s="76"/>
      <c r="F29" s="77"/>
    </row>
    <row r="30" spans="1:11" s="18" customFormat="1" ht="33.75" x14ac:dyDescent="0.2">
      <c r="A30" s="31" t="s">
        <v>388</v>
      </c>
      <c r="B30" s="61" t="s">
        <v>516</v>
      </c>
      <c r="C30" s="43" t="s">
        <v>517</v>
      </c>
      <c r="D30" s="56"/>
      <c r="E30" s="76"/>
      <c r="F30" s="77"/>
    </row>
    <row r="31" spans="1:11" s="18" customFormat="1" ht="26.25" customHeight="1" x14ac:dyDescent="0.2">
      <c r="A31" s="35"/>
      <c r="B31" s="40" t="s">
        <v>92</v>
      </c>
      <c r="C31" s="43" t="s">
        <v>518</v>
      </c>
      <c r="D31" s="56"/>
      <c r="E31" s="73">
        <f>SUM(E32+E41+E49-E50-E59+E60-E61+E62+E63)</f>
        <v>7595</v>
      </c>
      <c r="F31" s="74">
        <f>SUM(F32+F41+F49-F50-F59+F60-F61+F62+F63)</f>
        <v>404207</v>
      </c>
      <c r="K31" s="75"/>
    </row>
    <row r="32" spans="1:11" s="18" customFormat="1" ht="38.25" x14ac:dyDescent="0.2">
      <c r="A32" s="35"/>
      <c r="B32" s="40" t="s">
        <v>519</v>
      </c>
      <c r="C32" s="43" t="s">
        <v>520</v>
      </c>
      <c r="D32" s="56"/>
      <c r="E32" s="73">
        <f>SUM(E33+E34+E35+E36+E37+E38+E39+E40)</f>
        <v>2662</v>
      </c>
      <c r="F32" s="74">
        <f>SUM(F33+F34+F35+F36+F37+F38+F39+F40)</f>
        <v>22025</v>
      </c>
    </row>
    <row r="33" spans="1:6" s="18" customFormat="1" ht="25.5" x14ac:dyDescent="0.2">
      <c r="A33" s="35" t="s">
        <v>389</v>
      </c>
      <c r="B33" s="40" t="s">
        <v>521</v>
      </c>
      <c r="C33" s="43" t="s">
        <v>522</v>
      </c>
      <c r="D33" s="56"/>
      <c r="E33" s="73">
        <v>2492</v>
      </c>
      <c r="F33" s="74">
        <v>782</v>
      </c>
    </row>
    <row r="34" spans="1:6" s="18" customFormat="1" ht="12.75" x14ac:dyDescent="0.2">
      <c r="A34" s="35" t="s">
        <v>390</v>
      </c>
      <c r="B34" s="61" t="s">
        <v>523</v>
      </c>
      <c r="C34" s="43" t="s">
        <v>524</v>
      </c>
      <c r="D34" s="56"/>
      <c r="E34" s="56"/>
      <c r="F34" s="70"/>
    </row>
    <row r="35" spans="1:6" s="18" customFormat="1" ht="12.75" x14ac:dyDescent="0.2">
      <c r="A35" s="35" t="s">
        <v>391</v>
      </c>
      <c r="B35" s="61" t="s">
        <v>525</v>
      </c>
      <c r="C35" s="43" t="s">
        <v>526</v>
      </c>
      <c r="D35" s="56"/>
      <c r="E35" s="56"/>
      <c r="F35" s="70"/>
    </row>
    <row r="36" spans="1:6" s="18" customFormat="1" ht="12.75" x14ac:dyDescent="0.2">
      <c r="A36" s="35" t="s">
        <v>392</v>
      </c>
      <c r="B36" s="61" t="s">
        <v>527</v>
      </c>
      <c r="C36" s="43" t="s">
        <v>528</v>
      </c>
      <c r="D36" s="56"/>
      <c r="E36" s="56"/>
      <c r="F36" s="70"/>
    </row>
    <row r="37" spans="1:6" s="18" customFormat="1" ht="12.75" x14ac:dyDescent="0.2">
      <c r="A37" s="35" t="s">
        <v>393</v>
      </c>
      <c r="B37" s="61" t="s">
        <v>529</v>
      </c>
      <c r="C37" s="43" t="s">
        <v>530</v>
      </c>
      <c r="D37" s="56"/>
      <c r="E37" s="56"/>
      <c r="F37" s="70"/>
    </row>
    <row r="38" spans="1:6" s="18" customFormat="1" ht="12.75" x14ac:dyDescent="0.2">
      <c r="A38" s="35" t="s">
        <v>394</v>
      </c>
      <c r="B38" s="61" t="s">
        <v>531</v>
      </c>
      <c r="C38" s="43" t="s">
        <v>532</v>
      </c>
      <c r="D38" s="56"/>
      <c r="E38" s="154">
        <v>170</v>
      </c>
      <c r="F38" s="74">
        <v>21243</v>
      </c>
    </row>
    <row r="39" spans="1:6" s="18" customFormat="1" ht="51" x14ac:dyDescent="0.2">
      <c r="A39" s="35" t="s">
        <v>395</v>
      </c>
      <c r="B39" s="40" t="s">
        <v>533</v>
      </c>
      <c r="C39" s="43" t="s">
        <v>534</v>
      </c>
      <c r="D39" s="56"/>
      <c r="E39" s="56"/>
      <c r="F39" s="70"/>
    </row>
    <row r="40" spans="1:6" s="18" customFormat="1" ht="25.5" x14ac:dyDescent="0.2">
      <c r="A40" s="35" t="s">
        <v>396</v>
      </c>
      <c r="B40" s="40" t="s">
        <v>535</v>
      </c>
      <c r="C40" s="43" t="s">
        <v>536</v>
      </c>
      <c r="D40" s="56"/>
      <c r="E40" s="56"/>
      <c r="F40" s="70"/>
    </row>
    <row r="41" spans="1:6" s="18" customFormat="1" ht="25.5" x14ac:dyDescent="0.2">
      <c r="A41" s="35"/>
      <c r="B41" s="40" t="s">
        <v>537</v>
      </c>
      <c r="C41" s="43" t="s">
        <v>538</v>
      </c>
      <c r="D41" s="56"/>
      <c r="E41" s="73">
        <f>SUM(E42+E43+E44+E45+E46-E47-E48)</f>
        <v>345440</v>
      </c>
      <c r="F41" s="74">
        <f>SUM(F42+F43+F44+F45+F46-F47-F48)</f>
        <v>335706</v>
      </c>
    </row>
    <row r="42" spans="1:6" s="18" customFormat="1" ht="25.5" x14ac:dyDescent="0.2">
      <c r="A42" s="35" t="s">
        <v>397</v>
      </c>
      <c r="B42" s="40" t="s">
        <v>539</v>
      </c>
      <c r="C42" s="43" t="s">
        <v>540</v>
      </c>
      <c r="D42" s="56"/>
      <c r="E42" s="56"/>
      <c r="F42" s="70"/>
    </row>
    <row r="43" spans="1:6" s="18" customFormat="1" ht="12.75" x14ac:dyDescent="0.2">
      <c r="A43" s="35" t="s">
        <v>398</v>
      </c>
      <c r="B43" s="61" t="s">
        <v>541</v>
      </c>
      <c r="C43" s="43" t="s">
        <v>542</v>
      </c>
      <c r="D43" s="56"/>
      <c r="E43" s="56"/>
      <c r="F43" s="70"/>
    </row>
    <row r="44" spans="1:6" s="18" customFormat="1" ht="22.5" x14ac:dyDescent="0.2">
      <c r="A44" s="31" t="s">
        <v>399</v>
      </c>
      <c r="B44" s="61" t="s">
        <v>543</v>
      </c>
      <c r="C44" s="43" t="s">
        <v>544</v>
      </c>
      <c r="D44" s="56"/>
      <c r="E44" s="56"/>
      <c r="F44" s="70"/>
    </row>
    <row r="45" spans="1:6" s="18" customFormat="1" ht="25.5" x14ac:dyDescent="0.2">
      <c r="A45" s="31" t="s">
        <v>399</v>
      </c>
      <c r="B45" s="40" t="s">
        <v>545</v>
      </c>
      <c r="C45" s="43" t="s">
        <v>546</v>
      </c>
      <c r="D45" s="56"/>
      <c r="E45" s="73">
        <v>2662768</v>
      </c>
      <c r="F45" s="74">
        <f>770823-502</f>
        <v>770321</v>
      </c>
    </row>
    <row r="46" spans="1:6" s="18" customFormat="1" ht="25.5" x14ac:dyDescent="0.2">
      <c r="A46" s="31" t="s">
        <v>400</v>
      </c>
      <c r="B46" s="40" t="s">
        <v>547</v>
      </c>
      <c r="C46" s="43" t="s">
        <v>548</v>
      </c>
      <c r="D46" s="56"/>
      <c r="E46" s="73">
        <v>21253</v>
      </c>
      <c r="F46" s="74">
        <v>18275</v>
      </c>
    </row>
    <row r="47" spans="1:6" s="18" customFormat="1" ht="22.5" x14ac:dyDescent="0.2">
      <c r="A47" s="31" t="s">
        <v>401</v>
      </c>
      <c r="B47" s="61" t="s">
        <v>549</v>
      </c>
      <c r="C47" s="43" t="s">
        <v>550</v>
      </c>
      <c r="D47" s="56"/>
      <c r="E47" s="56"/>
      <c r="F47" s="70"/>
    </row>
    <row r="48" spans="1:6" s="18" customFormat="1" ht="25.5" x14ac:dyDescent="0.2">
      <c r="A48" s="31" t="s">
        <v>402</v>
      </c>
      <c r="B48" s="40" t="s">
        <v>551</v>
      </c>
      <c r="C48" s="43" t="s">
        <v>552</v>
      </c>
      <c r="D48" s="56"/>
      <c r="E48" s="73">
        <v>2338581</v>
      </c>
      <c r="F48" s="74">
        <f>453342-452</f>
        <v>452890</v>
      </c>
    </row>
    <row r="49" spans="1:7" s="18" customFormat="1" ht="25.5" x14ac:dyDescent="0.2">
      <c r="A49" s="151"/>
      <c r="B49" s="121" t="s">
        <v>553</v>
      </c>
      <c r="C49" s="152" t="s">
        <v>554</v>
      </c>
      <c r="D49" s="153"/>
      <c r="E49" s="154">
        <f>IF((E51-E52+E53-E54+E55-E56+E57-E58)&gt;0,(E51-E52+E53-E54+E55-E56+E57-E58),0)</f>
        <v>0</v>
      </c>
      <c r="F49" s="155">
        <v>56202</v>
      </c>
      <c r="G49" s="149"/>
    </row>
    <row r="50" spans="1:7" s="18" customFormat="1" ht="25.5" x14ac:dyDescent="0.2">
      <c r="A50" s="151"/>
      <c r="B50" s="121" t="s">
        <v>555</v>
      </c>
      <c r="C50" s="152" t="s">
        <v>556</v>
      </c>
      <c r="D50" s="153"/>
      <c r="E50" s="154">
        <f>IF((E51-E52+E53-E54+E55-E56+E57-E58)&lt;0,-(E51-E52+E53-E54+E55-E56+E57-E58),0)</f>
        <v>119145</v>
      </c>
      <c r="F50" s="155">
        <f>IF((F51-F52+F53-F54+F55-F56+F57-F58)&lt;0,-(F51-F52+F53-F54+F55-F56+F57-F58),0)</f>
        <v>0</v>
      </c>
      <c r="G50" s="149"/>
    </row>
    <row r="51" spans="1:7" s="18" customFormat="1" ht="12.75" x14ac:dyDescent="0.2">
      <c r="A51" s="35" t="s">
        <v>403</v>
      </c>
      <c r="B51" s="61" t="s">
        <v>557</v>
      </c>
      <c r="C51" s="43" t="s">
        <v>558</v>
      </c>
      <c r="D51" s="56"/>
      <c r="E51" s="56"/>
      <c r="F51" s="70"/>
    </row>
    <row r="52" spans="1:7" s="18" customFormat="1" ht="12.75" x14ac:dyDescent="0.2">
      <c r="A52" s="35" t="s">
        <v>404</v>
      </c>
      <c r="B52" s="61" t="s">
        <v>559</v>
      </c>
      <c r="C52" s="43" t="s">
        <v>560</v>
      </c>
      <c r="D52" s="56"/>
      <c r="E52" s="56"/>
      <c r="F52" s="70"/>
    </row>
    <row r="53" spans="1:7" s="18" customFormat="1" ht="12.75" x14ac:dyDescent="0.2">
      <c r="A53" s="35" t="s">
        <v>405</v>
      </c>
      <c r="B53" s="61" t="s">
        <v>561</v>
      </c>
      <c r="C53" s="43" t="s">
        <v>562</v>
      </c>
      <c r="D53" s="56"/>
      <c r="E53" s="56"/>
      <c r="F53" s="70"/>
    </row>
    <row r="54" spans="1:7" s="18" customFormat="1" ht="12.75" x14ac:dyDescent="0.2">
      <c r="A54" s="35" t="s">
        <v>406</v>
      </c>
      <c r="B54" s="61" t="s">
        <v>563</v>
      </c>
      <c r="C54" s="43" t="s">
        <v>564</v>
      </c>
      <c r="D54" s="56"/>
      <c r="E54" s="56"/>
      <c r="F54" s="70"/>
    </row>
    <row r="55" spans="1:7" s="18" customFormat="1" ht="25.5" x14ac:dyDescent="0.2">
      <c r="A55" s="35" t="s">
        <v>407</v>
      </c>
      <c r="B55" s="40" t="s">
        <v>565</v>
      </c>
      <c r="C55" s="43" t="s">
        <v>566</v>
      </c>
      <c r="D55" s="56"/>
      <c r="E55" s="73">
        <f>18210+1129000</f>
        <v>1147210</v>
      </c>
      <c r="F55" s="74">
        <v>575022</v>
      </c>
    </row>
    <row r="56" spans="1:7" s="18" customFormat="1" ht="25.5" x14ac:dyDescent="0.2">
      <c r="A56" s="31" t="s">
        <v>408</v>
      </c>
      <c r="B56" s="40" t="s">
        <v>567</v>
      </c>
      <c r="C56" s="43" t="s">
        <v>568</v>
      </c>
      <c r="D56" s="56"/>
      <c r="E56" s="73">
        <f>21634+1244721</f>
        <v>1266355</v>
      </c>
      <c r="F56" s="74">
        <v>518820</v>
      </c>
    </row>
    <row r="57" spans="1:7" s="18" customFormat="1" ht="38.25" x14ac:dyDescent="0.2">
      <c r="A57" s="35" t="s">
        <v>409</v>
      </c>
      <c r="B57" s="40" t="s">
        <v>569</v>
      </c>
      <c r="C57" s="43" t="s">
        <v>570</v>
      </c>
      <c r="D57" s="56"/>
      <c r="E57" s="56"/>
      <c r="F57" s="70"/>
    </row>
    <row r="58" spans="1:7" s="18" customFormat="1" ht="25.5" x14ac:dyDescent="0.2">
      <c r="A58" s="35" t="s">
        <v>410</v>
      </c>
      <c r="B58" s="40" t="s">
        <v>571</v>
      </c>
      <c r="C58" s="43" t="s">
        <v>572</v>
      </c>
      <c r="D58" s="56"/>
      <c r="E58" s="73"/>
      <c r="F58" s="70"/>
    </row>
    <row r="59" spans="1:7" s="18" customFormat="1" ht="25.5" x14ac:dyDescent="0.2">
      <c r="A59" s="31" t="s">
        <v>411</v>
      </c>
      <c r="B59" s="40" t="s">
        <v>573</v>
      </c>
      <c r="C59" s="43" t="s">
        <v>574</v>
      </c>
      <c r="D59" s="56"/>
      <c r="E59" s="73">
        <v>12413</v>
      </c>
      <c r="F59" s="74">
        <v>9726</v>
      </c>
    </row>
    <row r="60" spans="1:7" s="18" customFormat="1" ht="12.75" x14ac:dyDescent="0.2">
      <c r="A60" s="35" t="s">
        <v>412</v>
      </c>
      <c r="B60" s="61" t="s">
        <v>575</v>
      </c>
      <c r="C60" s="43" t="s">
        <v>576</v>
      </c>
      <c r="D60" s="56"/>
      <c r="E60" s="73">
        <v>11711</v>
      </c>
      <c r="F60" s="70"/>
    </row>
    <row r="61" spans="1:7" s="18" customFormat="1" ht="22.5" x14ac:dyDescent="0.2">
      <c r="A61" s="31" t="s">
        <v>413</v>
      </c>
      <c r="B61" s="61" t="s">
        <v>577</v>
      </c>
      <c r="C61" s="43" t="s">
        <v>578</v>
      </c>
      <c r="D61" s="56"/>
      <c r="E61" s="73">
        <v>220660</v>
      </c>
      <c r="F61" s="70"/>
    </row>
    <row r="62" spans="1:7" s="18" customFormat="1" ht="12.75" x14ac:dyDescent="0.2">
      <c r="A62" s="35" t="s">
        <v>414</v>
      </c>
      <c r="B62" s="61" t="s">
        <v>579</v>
      </c>
      <c r="C62" s="43" t="s">
        <v>580</v>
      </c>
      <c r="D62" s="56"/>
      <c r="E62" s="56"/>
      <c r="F62" s="70"/>
    </row>
    <row r="63" spans="1:7" s="18" customFormat="1" ht="12.75" x14ac:dyDescent="0.2">
      <c r="A63" s="31" t="s">
        <v>415</v>
      </c>
      <c r="B63" s="61" t="s">
        <v>581</v>
      </c>
      <c r="C63" s="43" t="s">
        <v>582</v>
      </c>
      <c r="D63" s="56"/>
      <c r="E63" s="56"/>
      <c r="F63" s="70"/>
    </row>
    <row r="64" spans="1:7" s="18" customFormat="1" ht="12.75" x14ac:dyDescent="0.2">
      <c r="A64" s="151"/>
      <c r="B64" s="121" t="s">
        <v>583</v>
      </c>
      <c r="C64" s="152" t="s">
        <v>584</v>
      </c>
      <c r="D64" s="153"/>
      <c r="E64" s="156">
        <f>IF((E16-E31)&gt;0,E16-E31,0)</f>
        <v>410907</v>
      </c>
      <c r="F64" s="157">
        <f>IF((F16-F31)&gt;0,F16-F31,0)</f>
        <v>0</v>
      </c>
      <c r="G64" s="149"/>
    </row>
    <row r="65" spans="1:8" s="18" customFormat="1" ht="12.75" x14ac:dyDescent="0.2">
      <c r="A65" s="151"/>
      <c r="B65" s="121" t="s">
        <v>585</v>
      </c>
      <c r="C65" s="152" t="s">
        <v>586</v>
      </c>
      <c r="D65" s="153"/>
      <c r="E65" s="156">
        <f>IF((E31-E16)&gt;0,E31-E16,0)</f>
        <v>0</v>
      </c>
      <c r="F65" s="157">
        <f>IF((F31-F16)&gt;0,F31-F16,0)</f>
        <v>36922</v>
      </c>
      <c r="G65" s="149"/>
    </row>
    <row r="66" spans="1:8" s="18" customFormat="1" ht="25.5" x14ac:dyDescent="0.2">
      <c r="A66" s="158"/>
      <c r="B66" s="122" t="s">
        <v>587</v>
      </c>
      <c r="C66" s="159"/>
      <c r="D66" s="160"/>
      <c r="E66" s="160"/>
      <c r="F66" s="161"/>
    </row>
    <row r="67" spans="1:8" s="18" customFormat="1" ht="28.5" customHeight="1" x14ac:dyDescent="0.2">
      <c r="A67" s="158"/>
      <c r="B67" s="123" t="s">
        <v>588</v>
      </c>
      <c r="C67" s="159" t="s">
        <v>589</v>
      </c>
      <c r="D67" s="160"/>
      <c r="E67" s="154">
        <f>SUM(E68+E69+E73+E74+E75+E76+E77)</f>
        <v>92609</v>
      </c>
      <c r="F67" s="155">
        <f>SUM(F68+F69+F73+F74+F75+F76+F77)</f>
        <v>155702</v>
      </c>
      <c r="H67" s="18">
        <f>141089-92609</f>
        <v>48480</v>
      </c>
    </row>
    <row r="68" spans="1:8" s="18" customFormat="1" ht="25.5" x14ac:dyDescent="0.2">
      <c r="A68" s="162" t="s">
        <v>416</v>
      </c>
      <c r="B68" s="123" t="s">
        <v>590</v>
      </c>
      <c r="C68" s="159" t="s">
        <v>591</v>
      </c>
      <c r="D68" s="160"/>
      <c r="E68" s="160"/>
      <c r="F68" s="161"/>
    </row>
    <row r="69" spans="1:8" s="18" customFormat="1" ht="25.5" x14ac:dyDescent="0.2">
      <c r="A69" s="158"/>
      <c r="B69" s="123" t="s">
        <v>592</v>
      </c>
      <c r="C69" s="159" t="s">
        <v>593</v>
      </c>
      <c r="D69" s="160"/>
      <c r="E69" s="163">
        <f>SUM(E70+E71+E72)</f>
        <v>0</v>
      </c>
      <c r="F69" s="164">
        <f>SUM(F70+F71+F72)</f>
        <v>0</v>
      </c>
    </row>
    <row r="70" spans="1:8" s="18" customFormat="1" ht="12.75" customHeight="1" x14ac:dyDescent="0.2">
      <c r="A70" s="162" t="s">
        <v>417</v>
      </c>
      <c r="B70" s="123" t="s">
        <v>594</v>
      </c>
      <c r="C70" s="159" t="s">
        <v>595</v>
      </c>
      <c r="D70" s="160"/>
      <c r="E70" s="165"/>
      <c r="F70" s="161"/>
    </row>
    <row r="71" spans="1:8" s="18" customFormat="1" ht="25.5" x14ac:dyDescent="0.2">
      <c r="A71" s="158" t="s">
        <v>418</v>
      </c>
      <c r="B71" s="123" t="s">
        <v>596</v>
      </c>
      <c r="C71" s="159" t="s">
        <v>597</v>
      </c>
      <c r="D71" s="160"/>
      <c r="E71" s="165"/>
      <c r="F71" s="161"/>
    </row>
    <row r="72" spans="1:8" s="18" customFormat="1" ht="25.5" x14ac:dyDescent="0.2">
      <c r="A72" s="158" t="s">
        <v>419</v>
      </c>
      <c r="B72" s="123" t="s">
        <v>598</v>
      </c>
      <c r="C72" s="159" t="s">
        <v>599</v>
      </c>
      <c r="D72" s="160"/>
      <c r="E72" s="165"/>
      <c r="F72" s="161"/>
    </row>
    <row r="73" spans="1:8" s="18" customFormat="1" ht="12.75" x14ac:dyDescent="0.2">
      <c r="A73" s="158" t="s">
        <v>420</v>
      </c>
      <c r="B73" s="123" t="s">
        <v>600</v>
      </c>
      <c r="C73" s="159" t="s">
        <v>601</v>
      </c>
      <c r="D73" s="160"/>
      <c r="E73" s="154">
        <v>43227</v>
      </c>
      <c r="F73" s="155">
        <v>49996</v>
      </c>
    </row>
    <row r="74" spans="1:8" s="18" customFormat="1" ht="38.25" x14ac:dyDescent="0.2">
      <c r="A74" s="162" t="s">
        <v>421</v>
      </c>
      <c r="B74" s="123" t="s">
        <v>602</v>
      </c>
      <c r="C74" s="159" t="s">
        <v>603</v>
      </c>
      <c r="D74" s="160"/>
      <c r="E74" s="154">
        <v>1860</v>
      </c>
      <c r="F74" s="155">
        <v>1490</v>
      </c>
    </row>
    <row r="75" spans="1:8" s="18" customFormat="1" ht="12.75" x14ac:dyDescent="0.2">
      <c r="A75" s="158" t="s">
        <v>422</v>
      </c>
      <c r="B75" s="123" t="s">
        <v>604</v>
      </c>
      <c r="C75" s="159" t="s">
        <v>605</v>
      </c>
      <c r="D75" s="160"/>
      <c r="E75" s="165"/>
      <c r="F75" s="161"/>
    </row>
    <row r="76" spans="1:8" s="18" customFormat="1" ht="12.75" x14ac:dyDescent="0.2">
      <c r="A76" s="158" t="s">
        <v>423</v>
      </c>
      <c r="B76" s="123" t="s">
        <v>606</v>
      </c>
      <c r="C76" s="159" t="s">
        <v>607</v>
      </c>
      <c r="D76" s="160"/>
      <c r="E76" s="154">
        <f>22358+8252+15505+1319+88</f>
        <v>47522</v>
      </c>
      <c r="F76" s="155">
        <v>104216</v>
      </c>
    </row>
    <row r="77" spans="1:8" s="18" customFormat="1" ht="33.75" customHeight="1" x14ac:dyDescent="0.2">
      <c r="A77" s="162" t="s">
        <v>424</v>
      </c>
      <c r="B77" s="123" t="s">
        <v>608</v>
      </c>
      <c r="C77" s="159" t="s">
        <v>609</v>
      </c>
      <c r="D77" s="160"/>
      <c r="E77" s="154"/>
      <c r="F77" s="155"/>
    </row>
    <row r="78" spans="1:8" s="18" customFormat="1" ht="26.25" customHeight="1" x14ac:dyDescent="0.2">
      <c r="A78" s="158"/>
      <c r="B78" s="123" t="s">
        <v>610</v>
      </c>
      <c r="C78" s="159" t="s">
        <v>611</v>
      </c>
      <c r="D78" s="160"/>
      <c r="E78" s="154">
        <f>SUM(E79+E80+E83+E84+E85+E86)</f>
        <v>81922</v>
      </c>
      <c r="F78" s="155">
        <f>SUM(F79+F80+F83+F84+F85+F86)</f>
        <v>179647</v>
      </c>
    </row>
    <row r="79" spans="1:8" s="18" customFormat="1" ht="25.5" x14ac:dyDescent="0.2">
      <c r="A79" s="162" t="s">
        <v>425</v>
      </c>
      <c r="B79" s="123" t="s">
        <v>612</v>
      </c>
      <c r="C79" s="159" t="s">
        <v>613</v>
      </c>
      <c r="D79" s="160"/>
      <c r="E79" s="160"/>
      <c r="F79" s="161"/>
    </row>
    <row r="80" spans="1:8" s="18" customFormat="1" ht="25.5" x14ac:dyDescent="0.2">
      <c r="A80" s="158"/>
      <c r="B80" s="123" t="s">
        <v>93</v>
      </c>
      <c r="C80" s="159" t="s">
        <v>614</v>
      </c>
      <c r="D80" s="160"/>
      <c r="E80" s="163">
        <f>SUM(E81+E82)</f>
        <v>0</v>
      </c>
      <c r="F80" s="164">
        <f>SUM(F81+F82)</f>
        <v>0</v>
      </c>
    </row>
    <row r="81" spans="1:9" s="18" customFormat="1" ht="25.5" x14ac:dyDescent="0.2">
      <c r="A81" s="158" t="s">
        <v>426</v>
      </c>
      <c r="B81" s="123" t="s">
        <v>615</v>
      </c>
      <c r="C81" s="159" t="s">
        <v>616</v>
      </c>
      <c r="D81" s="160"/>
      <c r="E81" s="160"/>
      <c r="F81" s="161"/>
    </row>
    <row r="82" spans="1:9" s="18" customFormat="1" ht="25.5" x14ac:dyDescent="0.2">
      <c r="A82" s="158" t="s">
        <v>427</v>
      </c>
      <c r="B82" s="123" t="s">
        <v>617</v>
      </c>
      <c r="C82" s="159" t="s">
        <v>618</v>
      </c>
      <c r="D82" s="160"/>
      <c r="E82" s="160"/>
      <c r="F82" s="155"/>
    </row>
    <row r="83" spans="1:9" s="18" customFormat="1" ht="38.25" x14ac:dyDescent="0.2">
      <c r="A83" s="162" t="s">
        <v>428</v>
      </c>
      <c r="B83" s="124" t="s">
        <v>619</v>
      </c>
      <c r="C83" s="159" t="s">
        <v>620</v>
      </c>
      <c r="D83" s="160"/>
      <c r="E83" s="154">
        <v>47742</v>
      </c>
      <c r="F83" s="155">
        <v>172074</v>
      </c>
    </row>
    <row r="84" spans="1:9" s="18" customFormat="1" ht="12.75" x14ac:dyDescent="0.2">
      <c r="A84" s="35" t="s">
        <v>429</v>
      </c>
      <c r="B84" s="40" t="s">
        <v>621</v>
      </c>
      <c r="C84" s="43" t="s">
        <v>622</v>
      </c>
      <c r="D84" s="56"/>
      <c r="E84" s="160"/>
      <c r="F84" s="161"/>
    </row>
    <row r="85" spans="1:9" s="18" customFormat="1" ht="12.75" x14ac:dyDescent="0.2">
      <c r="A85" s="35" t="s">
        <v>430</v>
      </c>
      <c r="B85" s="40" t="s">
        <v>623</v>
      </c>
      <c r="C85" s="43" t="s">
        <v>624</v>
      </c>
      <c r="D85" s="56"/>
      <c r="E85" s="154">
        <f>13201+8637+6914+1195+29+2</f>
        <v>29978</v>
      </c>
      <c r="F85" s="155">
        <v>5190</v>
      </c>
      <c r="I85" s="75"/>
    </row>
    <row r="86" spans="1:9" s="18" customFormat="1" ht="33.75" customHeight="1" x14ac:dyDescent="0.2">
      <c r="A86" s="31" t="s">
        <v>431</v>
      </c>
      <c r="B86" s="40" t="s">
        <v>625</v>
      </c>
      <c r="C86" s="43" t="s">
        <v>626</v>
      </c>
      <c r="D86" s="56"/>
      <c r="E86" s="154">
        <v>4202</v>
      </c>
      <c r="F86" s="155">
        <v>2383</v>
      </c>
      <c r="I86" s="75"/>
    </row>
    <row r="87" spans="1:9" s="18" customFormat="1" ht="25.5" x14ac:dyDescent="0.2">
      <c r="A87" s="35"/>
      <c r="B87" s="40" t="s">
        <v>627</v>
      </c>
      <c r="C87" s="43" t="s">
        <v>628</v>
      </c>
      <c r="D87" s="56"/>
      <c r="E87" s="154">
        <f>+E67-E78</f>
        <v>10687</v>
      </c>
      <c r="F87" s="155"/>
    </row>
    <row r="88" spans="1:9" s="18" customFormat="1" ht="25.5" x14ac:dyDescent="0.2">
      <c r="A88" s="35"/>
      <c r="B88" s="40" t="s">
        <v>629</v>
      </c>
      <c r="C88" s="43" t="s">
        <v>630</v>
      </c>
      <c r="D88" s="56"/>
      <c r="E88" s="73"/>
      <c r="F88" s="74">
        <f>+F78-F67</f>
        <v>23945</v>
      </c>
      <c r="H88" s="75"/>
    </row>
    <row r="89" spans="1:9" s="18" customFormat="1" ht="25.5" x14ac:dyDescent="0.2">
      <c r="A89" s="35"/>
      <c r="B89" s="40" t="s">
        <v>631</v>
      </c>
      <c r="C89" s="43" t="s">
        <v>632</v>
      </c>
      <c r="D89" s="56"/>
      <c r="E89" s="73">
        <f>SUM(E90+E95+E100-E101)</f>
        <v>100625</v>
      </c>
      <c r="F89" s="74">
        <f>SUM(F90+F95+F100-F101)</f>
        <v>125674</v>
      </c>
    </row>
    <row r="90" spans="1:9" s="18" customFormat="1" ht="12.75" x14ac:dyDescent="0.2">
      <c r="A90" s="35"/>
      <c r="B90" s="40" t="s">
        <v>633</v>
      </c>
      <c r="C90" s="43" t="s">
        <v>634</v>
      </c>
      <c r="D90" s="56"/>
      <c r="E90" s="73">
        <f>SUM(E91+E92-E93+E94)</f>
        <v>367728</v>
      </c>
      <c r="F90" s="74">
        <f>SUM(F91+F92-F93+F94)</f>
        <v>320023</v>
      </c>
    </row>
    <row r="91" spans="1:9" s="18" customFormat="1" ht="12.75" x14ac:dyDescent="0.2">
      <c r="A91" s="35" t="s">
        <v>432</v>
      </c>
      <c r="B91" s="61" t="s">
        <v>635</v>
      </c>
      <c r="C91" s="43" t="s">
        <v>636</v>
      </c>
      <c r="D91" s="56"/>
      <c r="E91" s="93">
        <v>309014</v>
      </c>
      <c r="F91" s="74">
        <f>264035+3544-568</f>
        <v>267011</v>
      </c>
      <c r="H91" s="75"/>
    </row>
    <row r="92" spans="1:9" s="18" customFormat="1" ht="22.5" x14ac:dyDescent="0.2">
      <c r="A92" s="31" t="s">
        <v>400</v>
      </c>
      <c r="B92" s="61" t="s">
        <v>637</v>
      </c>
      <c r="C92" s="43" t="s">
        <v>638</v>
      </c>
      <c r="D92" s="56"/>
      <c r="E92" s="93">
        <v>58714</v>
      </c>
      <c r="F92" s="74">
        <v>53012</v>
      </c>
      <c r="H92" s="75"/>
    </row>
    <row r="93" spans="1:9" s="18" customFormat="1" ht="12.75" x14ac:dyDescent="0.2">
      <c r="A93" s="35" t="s">
        <v>433</v>
      </c>
      <c r="B93" s="61" t="s">
        <v>639</v>
      </c>
      <c r="C93" s="43" t="s">
        <v>640</v>
      </c>
      <c r="D93" s="56"/>
      <c r="E93" s="56"/>
      <c r="F93" s="77"/>
    </row>
    <row r="94" spans="1:9" s="18" customFormat="1" ht="12.75" x14ac:dyDescent="0.2">
      <c r="A94" s="35" t="s">
        <v>433</v>
      </c>
      <c r="B94" s="61" t="s">
        <v>641</v>
      </c>
      <c r="C94" s="43" t="s">
        <v>642</v>
      </c>
      <c r="D94" s="56"/>
      <c r="E94" s="56"/>
      <c r="F94" s="77"/>
      <c r="I94" s="75"/>
    </row>
    <row r="95" spans="1:9" s="18" customFormat="1" ht="12.75" x14ac:dyDescent="0.2">
      <c r="A95" s="35"/>
      <c r="B95" s="40" t="s">
        <v>643</v>
      </c>
      <c r="C95" s="43" t="s">
        <v>644</v>
      </c>
      <c r="D95" s="56"/>
      <c r="E95" s="73">
        <v>82914</v>
      </c>
      <c r="F95" s="74">
        <f>SUM(F96+F97+F98+F99)</f>
        <v>83894</v>
      </c>
    </row>
    <row r="96" spans="1:9" s="18" customFormat="1" ht="12.75" x14ac:dyDescent="0.2">
      <c r="A96" s="35" t="s">
        <v>434</v>
      </c>
      <c r="B96" s="61" t="s">
        <v>645</v>
      </c>
      <c r="C96" s="43" t="s">
        <v>646</v>
      </c>
      <c r="D96" s="56"/>
      <c r="E96" s="73">
        <v>11253</v>
      </c>
      <c r="F96" s="74">
        <v>10625</v>
      </c>
    </row>
    <row r="97" spans="1:11" s="18" customFormat="1" ht="25.5" x14ac:dyDescent="0.2">
      <c r="A97" s="35" t="s">
        <v>435</v>
      </c>
      <c r="B97" s="40" t="s">
        <v>647</v>
      </c>
      <c r="C97" s="43" t="s">
        <v>648</v>
      </c>
      <c r="D97" s="56"/>
      <c r="E97" s="73">
        <v>9532</v>
      </c>
      <c r="F97" s="74">
        <v>8011</v>
      </c>
    </row>
    <row r="98" spans="1:11" s="18" customFormat="1" ht="25.5" x14ac:dyDescent="0.2">
      <c r="A98" s="35" t="s">
        <v>436</v>
      </c>
      <c r="B98" s="40" t="s">
        <v>649</v>
      </c>
      <c r="C98" s="43" t="s">
        <v>650</v>
      </c>
      <c r="D98" s="56"/>
      <c r="E98" s="73">
        <v>42154</v>
      </c>
      <c r="F98" s="74">
        <v>48596</v>
      </c>
    </row>
    <row r="99" spans="1:11" s="18" customFormat="1" ht="22.5" x14ac:dyDescent="0.2">
      <c r="A99" s="31" t="s">
        <v>400</v>
      </c>
      <c r="B99" s="61" t="s">
        <v>651</v>
      </c>
      <c r="C99" s="43" t="s">
        <v>652</v>
      </c>
      <c r="D99" s="56"/>
      <c r="E99" s="73">
        <v>19976</v>
      </c>
      <c r="F99" s="74">
        <v>16662</v>
      </c>
    </row>
    <row r="100" spans="1:11" s="18" customFormat="1" ht="22.5" x14ac:dyDescent="0.2">
      <c r="A100" s="31" t="s">
        <v>400</v>
      </c>
      <c r="B100" s="61" t="s">
        <v>653</v>
      </c>
      <c r="C100" s="43" t="s">
        <v>654</v>
      </c>
      <c r="D100" s="56"/>
      <c r="E100" s="73">
        <v>3099</v>
      </c>
      <c r="F100" s="74">
        <v>5236</v>
      </c>
    </row>
    <row r="101" spans="1:11" s="18" customFormat="1" ht="12.75" x14ac:dyDescent="0.2">
      <c r="A101" s="35" t="s">
        <v>437</v>
      </c>
      <c r="B101" s="61" t="s">
        <v>655</v>
      </c>
      <c r="C101" s="43" t="s">
        <v>656</v>
      </c>
      <c r="D101" s="56"/>
      <c r="E101" s="73">
        <v>353116</v>
      </c>
      <c r="F101" s="74">
        <f>278393+5557-471</f>
        <v>283479</v>
      </c>
    </row>
    <row r="102" spans="1:11" s="18" customFormat="1" ht="25.5" x14ac:dyDescent="0.2">
      <c r="A102" s="151"/>
      <c r="B102" s="121" t="s">
        <v>657</v>
      </c>
      <c r="C102" s="152" t="s">
        <v>658</v>
      </c>
      <c r="D102" s="153"/>
      <c r="E102" s="156">
        <f>+E64+E87-E65-E88-E89</f>
        <v>320969</v>
      </c>
      <c r="F102" s="157">
        <f>IF((F64-F89)&gt;0,F64-F89,0)</f>
        <v>0</v>
      </c>
      <c r="G102" s="149"/>
    </row>
    <row r="103" spans="1:11" s="18" customFormat="1" ht="26.25" thickBot="1" x14ac:dyDescent="0.25">
      <c r="A103" s="166"/>
      <c r="B103" s="129" t="s">
        <v>659</v>
      </c>
      <c r="C103" s="167" t="s">
        <v>660</v>
      </c>
      <c r="D103" s="168"/>
      <c r="E103" s="169"/>
      <c r="F103" s="170">
        <f>SUM(-(F64+F87-F65-F88-F89))</f>
        <v>186541</v>
      </c>
      <c r="G103" s="149"/>
      <c r="J103" s="75"/>
    </row>
    <row r="104" spans="1:11" s="18" customFormat="1" ht="13.5" thickBot="1" x14ac:dyDescent="0.25">
      <c r="A104" s="171"/>
      <c r="B104" s="125"/>
      <c r="C104" s="48"/>
      <c r="D104" s="101"/>
      <c r="E104" s="101"/>
      <c r="F104" s="101"/>
    </row>
    <row r="105" spans="1:11" s="18" customFormat="1" ht="25.5" x14ac:dyDescent="0.2">
      <c r="A105" s="172" t="s">
        <v>438</v>
      </c>
      <c r="B105" s="63" t="s">
        <v>661</v>
      </c>
      <c r="C105" s="46" t="s">
        <v>662</v>
      </c>
      <c r="D105" s="84"/>
      <c r="E105" s="173">
        <f>183321-90749</f>
        <v>92572</v>
      </c>
      <c r="F105" s="174">
        <v>85303</v>
      </c>
    </row>
    <row r="106" spans="1:11" s="18" customFormat="1" ht="25.5" x14ac:dyDescent="0.2">
      <c r="A106" s="35" t="s">
        <v>439</v>
      </c>
      <c r="B106" s="40" t="s">
        <v>663</v>
      </c>
      <c r="C106" s="43" t="s">
        <v>664</v>
      </c>
      <c r="D106" s="56"/>
      <c r="E106" s="154">
        <f>137664-29978</f>
        <v>107686</v>
      </c>
      <c r="F106" s="155">
        <v>123214</v>
      </c>
      <c r="H106" s="75"/>
      <c r="I106" s="75"/>
    </row>
    <row r="107" spans="1:11" s="18" customFormat="1" ht="38.25" x14ac:dyDescent="0.2">
      <c r="A107" s="35" t="s">
        <v>440</v>
      </c>
      <c r="B107" s="40" t="s">
        <v>665</v>
      </c>
      <c r="C107" s="43" t="s">
        <v>666</v>
      </c>
      <c r="D107" s="56"/>
      <c r="E107" s="154">
        <v>90987</v>
      </c>
      <c r="F107" s="74">
        <v>235095</v>
      </c>
      <c r="I107" s="75"/>
    </row>
    <row r="108" spans="1:11" s="18" customFormat="1" ht="38.25" x14ac:dyDescent="0.2">
      <c r="A108" s="35" t="s">
        <v>441</v>
      </c>
      <c r="B108" s="40" t="s">
        <v>667</v>
      </c>
      <c r="C108" s="43" t="s">
        <v>668</v>
      </c>
      <c r="D108" s="56"/>
      <c r="E108" s="154">
        <v>68172</v>
      </c>
      <c r="F108" s="74">
        <v>90747</v>
      </c>
    </row>
    <row r="109" spans="1:11" s="18" customFormat="1" ht="12.75" x14ac:dyDescent="0.2">
      <c r="A109" s="35" t="s">
        <v>442</v>
      </c>
      <c r="B109" s="61" t="s">
        <v>669</v>
      </c>
      <c r="C109" s="43" t="s">
        <v>670</v>
      </c>
      <c r="D109" s="56"/>
      <c r="E109" s="73">
        <v>92520</v>
      </c>
      <c r="F109" s="74">
        <v>2981</v>
      </c>
    </row>
    <row r="110" spans="1:11" s="18" customFormat="1" ht="12.75" x14ac:dyDescent="0.2">
      <c r="A110" s="35" t="s">
        <v>443</v>
      </c>
      <c r="B110" s="61" t="s">
        <v>671</v>
      </c>
      <c r="C110" s="43" t="s">
        <v>672</v>
      </c>
      <c r="D110" s="56"/>
      <c r="E110" s="73">
        <v>25950</v>
      </c>
      <c r="F110" s="74">
        <v>2874</v>
      </c>
    </row>
    <row r="111" spans="1:11" s="18" customFormat="1" ht="38.25" x14ac:dyDescent="0.2">
      <c r="A111" s="35"/>
      <c r="B111" s="40" t="s">
        <v>673</v>
      </c>
      <c r="C111" s="43" t="s">
        <v>674</v>
      </c>
      <c r="D111" s="56"/>
      <c r="E111" s="73">
        <f>SUM(E102+E105+E107+E109-E103-E106-E108-E110)</f>
        <v>395240</v>
      </c>
      <c r="F111" s="74"/>
    </row>
    <row r="112" spans="1:11" s="18" customFormat="1" ht="38.25" x14ac:dyDescent="0.2">
      <c r="A112" s="35"/>
      <c r="B112" s="40" t="s">
        <v>675</v>
      </c>
      <c r="C112" s="43" t="s">
        <v>676</v>
      </c>
      <c r="D112" s="56"/>
      <c r="E112" s="73"/>
      <c r="F112" s="74">
        <f>SUM(-(F102+F105+F107+F109-F103-F106-F108-F110))</f>
        <v>79997</v>
      </c>
      <c r="K112" s="75"/>
    </row>
    <row r="113" spans="1:11" s="18" customFormat="1" ht="38.25" x14ac:dyDescent="0.2">
      <c r="A113" s="35" t="s">
        <v>444</v>
      </c>
      <c r="B113" s="40" t="s">
        <v>677</v>
      </c>
      <c r="C113" s="43" t="s">
        <v>678</v>
      </c>
      <c r="D113" s="56"/>
      <c r="E113" s="73"/>
      <c r="F113" s="155">
        <f>2851-531</f>
        <v>2320</v>
      </c>
    </row>
    <row r="114" spans="1:11" s="18" customFormat="1" ht="38.25" x14ac:dyDescent="0.2">
      <c r="A114" s="35" t="s">
        <v>445</v>
      </c>
      <c r="B114" s="40" t="s">
        <v>679</v>
      </c>
      <c r="C114" s="43" t="s">
        <v>680</v>
      </c>
      <c r="D114" s="56"/>
      <c r="E114" s="69">
        <v>16</v>
      </c>
      <c r="F114" s="70"/>
    </row>
    <row r="115" spans="1:11" s="18" customFormat="1" ht="12.75" x14ac:dyDescent="0.2">
      <c r="A115" s="151"/>
      <c r="B115" s="126" t="s">
        <v>681</v>
      </c>
      <c r="C115" s="152" t="s">
        <v>682</v>
      </c>
      <c r="D115" s="153"/>
      <c r="E115" s="156">
        <f>IF((E111+E113-E112-E114)&gt;0,(E111+E113-E112-E114),0)</f>
        <v>395224</v>
      </c>
      <c r="F115" s="157">
        <f>IF((F111+F113-F112-F114)&gt;0,(F111+F113-F112-F114),0)</f>
        <v>0</v>
      </c>
      <c r="G115" s="149"/>
    </row>
    <row r="116" spans="1:11" s="18" customFormat="1" ht="12.75" x14ac:dyDescent="0.2">
      <c r="A116" s="151"/>
      <c r="B116" s="126" t="s">
        <v>683</v>
      </c>
      <c r="C116" s="152" t="s">
        <v>684</v>
      </c>
      <c r="D116" s="153"/>
      <c r="E116" s="156">
        <f>IF((E111+E113-E112-E114)&lt;0,-(E111+E113-E112-E114),0)</f>
        <v>0</v>
      </c>
      <c r="F116" s="157">
        <f>SUM(-(F111+F113-F112-F114))</f>
        <v>77677</v>
      </c>
      <c r="G116" s="149"/>
      <c r="I116" s="75">
        <f>+E115-H116</f>
        <v>395224</v>
      </c>
    </row>
    <row r="117" spans="1:11" s="18" customFormat="1" ht="12.75" x14ac:dyDescent="0.2">
      <c r="A117" s="35"/>
      <c r="B117" s="127" t="s">
        <v>685</v>
      </c>
      <c r="C117" s="43"/>
      <c r="D117" s="56"/>
      <c r="E117" s="175"/>
      <c r="F117" s="176"/>
    </row>
    <row r="118" spans="1:11" s="18" customFormat="1" ht="12.75" x14ac:dyDescent="0.2">
      <c r="A118" s="35" t="s">
        <v>446</v>
      </c>
      <c r="B118" s="61" t="s">
        <v>686</v>
      </c>
      <c r="C118" s="43" t="s">
        <v>687</v>
      </c>
      <c r="D118" s="56"/>
      <c r="E118" s="73">
        <v>56499</v>
      </c>
      <c r="F118" s="176"/>
    </row>
    <row r="119" spans="1:11" s="18" customFormat="1" ht="27" customHeight="1" x14ac:dyDescent="0.2">
      <c r="A119" s="35" t="s">
        <v>447</v>
      </c>
      <c r="B119" s="40" t="s">
        <v>688</v>
      </c>
      <c r="C119" s="43" t="s">
        <v>689</v>
      </c>
      <c r="D119" s="56"/>
      <c r="E119" s="73">
        <v>4332</v>
      </c>
      <c r="F119" s="74">
        <v>2620</v>
      </c>
    </row>
    <row r="120" spans="1:11" s="18" customFormat="1" ht="38.25" x14ac:dyDescent="0.2">
      <c r="A120" s="35" t="s">
        <v>448</v>
      </c>
      <c r="B120" s="40" t="s">
        <v>690</v>
      </c>
      <c r="C120" s="43" t="s">
        <v>691</v>
      </c>
      <c r="D120" s="56"/>
      <c r="E120" s="175"/>
      <c r="F120" s="74"/>
    </row>
    <row r="121" spans="1:11" s="18" customFormat="1" ht="12.75" x14ac:dyDescent="0.2">
      <c r="A121" s="35"/>
      <c r="B121" s="39" t="s">
        <v>692</v>
      </c>
      <c r="C121" s="43" t="s">
        <v>693</v>
      </c>
      <c r="D121" s="56"/>
      <c r="E121" s="156">
        <f>IF((E115-E116-E118+E119-E120)&gt;0,(E115-E116-E118+E119-E120),0)</f>
        <v>343057</v>
      </c>
      <c r="F121" s="157">
        <f>IF((F115-F116-F118+F119-F120)&gt;0,(F115-F116-F118+F119-F120),0)</f>
        <v>0</v>
      </c>
    </row>
    <row r="122" spans="1:11" s="18" customFormat="1" ht="12.75" x14ac:dyDescent="0.2">
      <c r="A122" s="35"/>
      <c r="B122" s="61" t="s">
        <v>694</v>
      </c>
      <c r="C122" s="43" t="s">
        <v>695</v>
      </c>
      <c r="D122" s="56"/>
      <c r="E122" s="175"/>
      <c r="F122" s="176"/>
    </row>
    <row r="123" spans="1:11" s="18" customFormat="1" ht="12.75" x14ac:dyDescent="0.2">
      <c r="A123" s="35"/>
      <c r="B123" s="61" t="s">
        <v>696</v>
      </c>
      <c r="C123" s="43" t="s">
        <v>697</v>
      </c>
      <c r="D123" s="56"/>
      <c r="E123" s="175"/>
      <c r="F123" s="176"/>
    </row>
    <row r="124" spans="1:11" s="18" customFormat="1" ht="12.75" x14ac:dyDescent="0.2">
      <c r="A124" s="35"/>
      <c r="B124" s="39" t="s">
        <v>698</v>
      </c>
      <c r="C124" s="43" t="s">
        <v>699</v>
      </c>
      <c r="D124" s="56"/>
      <c r="E124" s="156">
        <f>IF((E116-E115+E118-E119+E120)&gt;0,(E116-E115+E118-E119+E120),0)</f>
        <v>0</v>
      </c>
      <c r="F124" s="157">
        <f>IF((F116-F115+F118-F119+F120)&gt;0,(F116-F115+F118-F119+F120),0)</f>
        <v>75057</v>
      </c>
    </row>
    <row r="125" spans="1:11" s="18" customFormat="1" ht="12.75" x14ac:dyDescent="0.2">
      <c r="A125" s="35"/>
      <c r="B125" s="40" t="s">
        <v>700</v>
      </c>
      <c r="C125" s="43" t="s">
        <v>701</v>
      </c>
      <c r="D125" s="56"/>
      <c r="E125" s="175"/>
      <c r="F125" s="176"/>
    </row>
    <row r="126" spans="1:11" s="18" customFormat="1" ht="12.75" x14ac:dyDescent="0.2">
      <c r="A126" s="35"/>
      <c r="B126" s="61" t="s">
        <v>702</v>
      </c>
      <c r="C126" s="43" t="s">
        <v>703</v>
      </c>
      <c r="D126" s="56"/>
      <c r="E126" s="175"/>
      <c r="F126" s="176"/>
    </row>
    <row r="127" spans="1:11" s="18" customFormat="1" ht="12.75" x14ac:dyDescent="0.2">
      <c r="A127" s="35"/>
      <c r="B127" s="61" t="s">
        <v>704</v>
      </c>
      <c r="C127" s="43"/>
      <c r="D127" s="56"/>
      <c r="E127" s="175"/>
      <c r="F127" s="176"/>
    </row>
    <row r="128" spans="1:11" s="18" customFormat="1" ht="12.75" x14ac:dyDescent="0.2">
      <c r="A128" s="35"/>
      <c r="B128" s="61" t="s">
        <v>705</v>
      </c>
      <c r="C128" s="43" t="s">
        <v>706</v>
      </c>
      <c r="D128" s="56"/>
      <c r="E128" s="175"/>
      <c r="F128" s="176"/>
      <c r="K128" s="78"/>
    </row>
    <row r="129" spans="1:11" s="18" customFormat="1" ht="26.25" thickBot="1" x14ac:dyDescent="0.25">
      <c r="A129" s="177"/>
      <c r="B129" s="62" t="s">
        <v>707</v>
      </c>
      <c r="C129" s="45" t="s">
        <v>708</v>
      </c>
      <c r="D129" s="59"/>
      <c r="E129" s="178"/>
      <c r="F129" s="179"/>
    </row>
    <row r="131" spans="1:11" ht="12.75" x14ac:dyDescent="0.2">
      <c r="A131" s="13" t="s">
        <v>152</v>
      </c>
      <c r="B131" s="13"/>
      <c r="C131" s="27"/>
      <c r="D131" s="13"/>
      <c r="E131" s="284"/>
      <c r="F131" s="284"/>
      <c r="G131" s="14"/>
      <c r="H131" s="6"/>
    </row>
    <row r="132" spans="1:11" ht="12.75" x14ac:dyDescent="0.2">
      <c r="A132" s="13"/>
      <c r="B132" s="13"/>
      <c r="C132" s="27"/>
      <c r="D132" s="13"/>
      <c r="E132" s="13"/>
      <c r="F132" s="13"/>
      <c r="G132" s="13"/>
    </row>
    <row r="133" spans="1:11" ht="12.75" x14ac:dyDescent="0.2">
      <c r="A133" s="23"/>
      <c r="B133" s="24"/>
      <c r="C133" s="27"/>
      <c r="D133" s="13"/>
      <c r="E133" s="285"/>
      <c r="F133" s="285"/>
      <c r="G133" s="13"/>
      <c r="K133" s="7"/>
    </row>
    <row r="134" spans="1:11" ht="12.75" x14ac:dyDescent="0.2">
      <c r="A134" s="1"/>
      <c r="E134" s="7"/>
      <c r="F134" s="7"/>
      <c r="G134" s="7"/>
      <c r="K134" s="7"/>
    </row>
    <row r="135" spans="1:11" x14ac:dyDescent="0.25">
      <c r="B135" s="7"/>
      <c r="E135" s="7"/>
      <c r="F135" s="6"/>
      <c r="K135" s="7"/>
    </row>
    <row r="136" spans="1:11" x14ac:dyDescent="0.25">
      <c r="E136" s="6"/>
      <c r="F136" s="6"/>
    </row>
    <row r="137" spans="1:11" x14ac:dyDescent="0.25">
      <c r="C137" s="257"/>
      <c r="D137" s="1">
        <v>5</v>
      </c>
      <c r="E137" s="6">
        <v>7173785090.9200001</v>
      </c>
      <c r="F137" s="6">
        <v>7173785090.9200001</v>
      </c>
    </row>
    <row r="138" spans="1:11" x14ac:dyDescent="0.25">
      <c r="D138" s="1">
        <v>6</v>
      </c>
      <c r="E138" s="6">
        <v>-6778560898.8500004</v>
      </c>
      <c r="F138" s="6">
        <v>-6778560898.8500004</v>
      </c>
    </row>
    <row r="139" spans="1:11" x14ac:dyDescent="0.25">
      <c r="E139" s="7">
        <f>SUM(E137:E138)</f>
        <v>395224192.06999969</v>
      </c>
      <c r="F139" s="6">
        <f>SUM(F137:F138)</f>
        <v>395224192.06999969</v>
      </c>
    </row>
    <row r="140" spans="1:11" x14ac:dyDescent="0.25">
      <c r="E140" s="6"/>
      <c r="F140" s="6"/>
    </row>
    <row r="141" spans="1:11" x14ac:dyDescent="0.25">
      <c r="E141" s="7"/>
    </row>
    <row r="142" spans="1:11" x14ac:dyDescent="0.25">
      <c r="D142" s="1">
        <v>9</v>
      </c>
      <c r="E142" s="7">
        <f>405682905.34</f>
        <v>405682905.33999997</v>
      </c>
    </row>
    <row r="143" spans="1:11" x14ac:dyDescent="0.25">
      <c r="D143" s="1">
        <v>9</v>
      </c>
      <c r="E143" s="7">
        <v>-10458713.268999999</v>
      </c>
    </row>
    <row r="144" spans="1:11" x14ac:dyDescent="0.25">
      <c r="E144" s="7">
        <f>SUM(E142:E143)</f>
        <v>395224192.07099998</v>
      </c>
    </row>
    <row r="145" spans="5:6" x14ac:dyDescent="0.25">
      <c r="E145" s="7"/>
      <c r="F145" s="6"/>
    </row>
    <row r="146" spans="5:6" x14ac:dyDescent="0.25">
      <c r="F146" s="6"/>
    </row>
    <row r="147" spans="5:6" x14ac:dyDescent="0.25">
      <c r="E147" s="7"/>
      <c r="F147" s="6"/>
    </row>
    <row r="148" spans="5:6" x14ac:dyDescent="0.25">
      <c r="F148" s="6"/>
    </row>
    <row r="149" spans="5:6" x14ac:dyDescent="0.25">
      <c r="E149" s="6"/>
    </row>
    <row r="150" spans="5:6" x14ac:dyDescent="0.25">
      <c r="F150" s="6"/>
    </row>
    <row r="152" spans="5:6" x14ac:dyDescent="0.25">
      <c r="F152" s="6"/>
    </row>
  </sheetData>
  <mergeCells count="9">
    <mergeCell ref="A7:F7"/>
    <mergeCell ref="A8:F8"/>
    <mergeCell ref="E131:F131"/>
    <mergeCell ref="E133:F133"/>
    <mergeCell ref="A12:A13"/>
    <mergeCell ref="B12:B13"/>
    <mergeCell ref="C12:C13"/>
    <mergeCell ref="D12:D13"/>
    <mergeCell ref="E12:F12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5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37" zoomScaleNormal="100" workbookViewId="0">
      <selection activeCell="B65" sqref="B65"/>
    </sheetView>
  </sheetViews>
  <sheetFormatPr defaultRowHeight="12.75" x14ac:dyDescent="0.2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16384" width="9.140625" style="17"/>
  </cols>
  <sheetData>
    <row r="1" spans="1:6" s="1" customFormat="1" ht="18.75" x14ac:dyDescent="0.2">
      <c r="A1" s="25" t="s">
        <v>449</v>
      </c>
      <c r="C1" s="17"/>
    </row>
    <row r="2" spans="1:6" s="1" customFormat="1" ht="15.75" x14ac:dyDescent="0.2">
      <c r="A2" s="16" t="s">
        <v>150</v>
      </c>
      <c r="C2" s="17"/>
    </row>
    <row r="3" spans="1:6" s="1" customFormat="1" ht="15.75" x14ac:dyDescent="0.2">
      <c r="A3" s="16" t="s">
        <v>451</v>
      </c>
      <c r="C3" s="17"/>
    </row>
    <row r="4" spans="1:6" s="1" customFormat="1" ht="15.75" x14ac:dyDescent="0.2">
      <c r="A4" s="16" t="s">
        <v>450</v>
      </c>
      <c r="C4" s="17"/>
    </row>
    <row r="7" spans="1:6" ht="15.75" x14ac:dyDescent="0.2">
      <c r="A7" s="283" t="s">
        <v>801</v>
      </c>
      <c r="B7" s="283"/>
      <c r="C7" s="283"/>
      <c r="D7" s="283"/>
      <c r="E7" s="283"/>
      <c r="F7" s="283"/>
    </row>
    <row r="8" spans="1:6" ht="15.75" x14ac:dyDescent="0.2">
      <c r="A8" s="283" t="s">
        <v>1303</v>
      </c>
      <c r="B8" s="283"/>
      <c r="C8" s="283"/>
      <c r="D8" s="283"/>
      <c r="E8" s="283"/>
      <c r="F8" s="283"/>
    </row>
    <row r="10" spans="1:6" x14ac:dyDescent="0.2">
      <c r="A10" s="10"/>
      <c r="E10" s="10"/>
    </row>
    <row r="11" spans="1:6" ht="10.5" customHeight="1" thickBot="1" x14ac:dyDescent="0.25">
      <c r="F11" s="11" t="s">
        <v>314</v>
      </c>
    </row>
    <row r="12" spans="1:6" s="19" customFormat="1" x14ac:dyDescent="0.2">
      <c r="A12" s="289" t="s">
        <v>380</v>
      </c>
      <c r="B12" s="291" t="s">
        <v>715</v>
      </c>
      <c r="C12" s="293" t="s">
        <v>709</v>
      </c>
      <c r="D12" s="293" t="s">
        <v>710</v>
      </c>
      <c r="E12" s="291" t="s">
        <v>716</v>
      </c>
      <c r="F12" s="295"/>
    </row>
    <row r="13" spans="1:6" s="19" customFormat="1" ht="24.75" thickBot="1" x14ac:dyDescent="0.25">
      <c r="A13" s="290"/>
      <c r="B13" s="292"/>
      <c r="C13" s="294"/>
      <c r="D13" s="294"/>
      <c r="E13" s="189" t="s">
        <v>144</v>
      </c>
      <c r="F13" s="190" t="s">
        <v>145</v>
      </c>
    </row>
    <row r="14" spans="1:6" x14ac:dyDescent="0.2">
      <c r="A14" s="20" t="s">
        <v>315</v>
      </c>
      <c r="B14" s="21" t="s">
        <v>316</v>
      </c>
      <c r="C14" s="21" t="s">
        <v>317</v>
      </c>
      <c r="D14" s="21" t="s">
        <v>318</v>
      </c>
      <c r="E14" s="44" t="s">
        <v>319</v>
      </c>
      <c r="F14" s="68" t="s">
        <v>320</v>
      </c>
    </row>
    <row r="15" spans="1:6" x14ac:dyDescent="0.2">
      <c r="A15" s="3"/>
      <c r="B15" s="5" t="s">
        <v>818</v>
      </c>
      <c r="C15" s="43"/>
      <c r="D15" s="4"/>
      <c r="E15" s="181"/>
      <c r="F15" s="182"/>
    </row>
    <row r="16" spans="1:6" ht="14.25" customHeight="1" x14ac:dyDescent="0.2">
      <c r="A16" s="35"/>
      <c r="B16" s="8" t="s">
        <v>819</v>
      </c>
      <c r="C16" s="43" t="s">
        <v>770</v>
      </c>
      <c r="D16" s="4"/>
      <c r="E16" s="73">
        <v>342057</v>
      </c>
      <c r="F16" s="182"/>
    </row>
    <row r="17" spans="1:6" x14ac:dyDescent="0.2">
      <c r="A17" s="35"/>
      <c r="B17" s="8" t="s">
        <v>820</v>
      </c>
      <c r="C17" s="43" t="s">
        <v>771</v>
      </c>
      <c r="D17" s="4"/>
      <c r="E17" s="73"/>
      <c r="F17" s="74">
        <v>75057</v>
      </c>
    </row>
    <row r="18" spans="1:6" ht="25.5" x14ac:dyDescent="0.2">
      <c r="A18" s="35"/>
      <c r="B18" s="5" t="s">
        <v>821</v>
      </c>
      <c r="C18" s="43"/>
      <c r="D18" s="4"/>
      <c r="E18" s="181"/>
      <c r="F18" s="182"/>
    </row>
    <row r="19" spans="1:6" ht="29.25" customHeight="1" x14ac:dyDescent="0.2">
      <c r="A19" s="35"/>
      <c r="B19" s="8" t="s">
        <v>822</v>
      </c>
      <c r="C19" s="43"/>
      <c r="D19" s="4"/>
      <c r="E19" s="181"/>
      <c r="F19" s="182"/>
    </row>
    <row r="20" spans="1:6" ht="39" customHeight="1" x14ac:dyDescent="0.2">
      <c r="A20" s="35" t="s">
        <v>180</v>
      </c>
      <c r="B20" s="8" t="s">
        <v>823</v>
      </c>
      <c r="C20" s="43" t="s">
        <v>772</v>
      </c>
      <c r="D20" s="4"/>
      <c r="E20" s="181"/>
      <c r="F20" s="182"/>
    </row>
    <row r="21" spans="1:6" ht="39.75" customHeight="1" x14ac:dyDescent="0.2">
      <c r="A21" s="35" t="s">
        <v>180</v>
      </c>
      <c r="B21" s="8" t="s">
        <v>824</v>
      </c>
      <c r="C21" s="43" t="s">
        <v>773</v>
      </c>
      <c r="D21" s="4"/>
      <c r="E21" s="181"/>
      <c r="F21" s="182"/>
    </row>
    <row r="22" spans="1:6" ht="25.5" customHeight="1" x14ac:dyDescent="0.2">
      <c r="A22" s="35" t="s">
        <v>802</v>
      </c>
      <c r="B22" s="8" t="s">
        <v>825</v>
      </c>
      <c r="C22" s="43" t="s">
        <v>774</v>
      </c>
      <c r="D22" s="4"/>
      <c r="E22" s="181"/>
      <c r="F22" s="182"/>
    </row>
    <row r="23" spans="1:6" ht="25.5" x14ac:dyDescent="0.2">
      <c r="A23" s="35" t="s">
        <v>803</v>
      </c>
      <c r="B23" s="8" t="s">
        <v>826</v>
      </c>
      <c r="C23" s="43" t="s">
        <v>775</v>
      </c>
      <c r="D23" s="4"/>
      <c r="E23" s="181"/>
      <c r="F23" s="182"/>
    </row>
    <row r="24" spans="1:6" ht="25.5" x14ac:dyDescent="0.2">
      <c r="A24" s="35" t="s">
        <v>804</v>
      </c>
      <c r="B24" s="42" t="s">
        <v>827</v>
      </c>
      <c r="C24" s="43" t="s">
        <v>776</v>
      </c>
      <c r="D24" s="4"/>
      <c r="E24" s="181"/>
      <c r="F24" s="182"/>
    </row>
    <row r="25" spans="1:6" ht="25.5" x14ac:dyDescent="0.2">
      <c r="A25" s="35" t="s">
        <v>805</v>
      </c>
      <c r="B25" s="8" t="s">
        <v>828</v>
      </c>
      <c r="C25" s="43" t="s">
        <v>777</v>
      </c>
      <c r="D25" s="4"/>
      <c r="E25" s="181"/>
      <c r="F25" s="182"/>
    </row>
    <row r="26" spans="1:6" ht="38.25" x14ac:dyDescent="0.2">
      <c r="A26" s="35" t="s">
        <v>806</v>
      </c>
      <c r="B26" s="8" t="s">
        <v>829</v>
      </c>
      <c r="C26" s="43" t="s">
        <v>778</v>
      </c>
      <c r="D26" s="4"/>
      <c r="E26" s="181"/>
      <c r="F26" s="182"/>
    </row>
    <row r="27" spans="1:6" ht="38.25" x14ac:dyDescent="0.2">
      <c r="A27" s="35" t="s">
        <v>807</v>
      </c>
      <c r="B27" s="8" t="s">
        <v>830</v>
      </c>
      <c r="C27" s="43" t="s">
        <v>779</v>
      </c>
      <c r="D27" s="4"/>
      <c r="E27" s="181"/>
      <c r="F27" s="182"/>
    </row>
    <row r="28" spans="1:6" ht="38.25" x14ac:dyDescent="0.2">
      <c r="A28" s="35"/>
      <c r="B28" s="8" t="s">
        <v>831</v>
      </c>
      <c r="C28" s="43"/>
      <c r="D28" s="4"/>
      <c r="E28" s="181"/>
      <c r="F28" s="182"/>
    </row>
    <row r="29" spans="1:6" ht="29.25" customHeight="1" x14ac:dyDescent="0.2">
      <c r="A29" s="35" t="s">
        <v>808</v>
      </c>
      <c r="B29" s="8" t="s">
        <v>832</v>
      </c>
      <c r="C29" s="43" t="s">
        <v>780</v>
      </c>
      <c r="D29" s="4"/>
      <c r="E29" s="181"/>
      <c r="F29" s="182"/>
    </row>
    <row r="30" spans="1:6" ht="29.25" customHeight="1" x14ac:dyDescent="0.2">
      <c r="A30" s="35" t="s">
        <v>809</v>
      </c>
      <c r="B30" s="8" t="s">
        <v>833</v>
      </c>
      <c r="C30" s="43" t="s">
        <v>781</v>
      </c>
      <c r="D30" s="4"/>
      <c r="E30" s="181"/>
      <c r="F30" s="182"/>
    </row>
    <row r="31" spans="1:6" ht="25.5" x14ac:dyDescent="0.2">
      <c r="A31" s="35" t="s">
        <v>810</v>
      </c>
      <c r="B31" s="8" t="s">
        <v>834</v>
      </c>
      <c r="C31" s="43" t="s">
        <v>782</v>
      </c>
      <c r="D31" s="4"/>
      <c r="E31" s="73"/>
      <c r="F31" s="74"/>
    </row>
    <row r="32" spans="1:6" ht="25.5" x14ac:dyDescent="0.2">
      <c r="A32" s="35" t="s">
        <v>811</v>
      </c>
      <c r="B32" s="8" t="s">
        <v>835</v>
      </c>
      <c r="C32" s="43" t="s">
        <v>783</v>
      </c>
      <c r="D32" s="4"/>
      <c r="E32" s="181"/>
      <c r="F32" s="182"/>
    </row>
    <row r="33" spans="1:6" ht="25.5" x14ac:dyDescent="0.2">
      <c r="A33" s="35" t="s">
        <v>812</v>
      </c>
      <c r="B33" s="8" t="s">
        <v>836</v>
      </c>
      <c r="C33" s="43" t="s">
        <v>784</v>
      </c>
      <c r="D33" s="4"/>
      <c r="E33" s="181"/>
      <c r="F33" s="182"/>
    </row>
    <row r="34" spans="1:6" ht="25.5" x14ac:dyDescent="0.2">
      <c r="A34" s="35" t="s">
        <v>813</v>
      </c>
      <c r="B34" s="8" t="s">
        <v>837</v>
      </c>
      <c r="C34" s="43" t="s">
        <v>785</v>
      </c>
      <c r="D34" s="4"/>
      <c r="E34" s="181"/>
      <c r="F34" s="182"/>
    </row>
    <row r="35" spans="1:6" ht="25.5" x14ac:dyDescent="0.2">
      <c r="A35" s="35" t="s">
        <v>814</v>
      </c>
      <c r="B35" s="8" t="s">
        <v>838</v>
      </c>
      <c r="C35" s="43" t="s">
        <v>786</v>
      </c>
      <c r="D35" s="4"/>
      <c r="E35" s="183">
        <v>824</v>
      </c>
      <c r="F35" s="184">
        <f>24983+331</f>
        <v>25314</v>
      </c>
    </row>
    <row r="36" spans="1:6" ht="25.5" x14ac:dyDescent="0.2">
      <c r="A36" s="35" t="s">
        <v>815</v>
      </c>
      <c r="B36" s="8" t="s">
        <v>839</v>
      </c>
      <c r="C36" s="43" t="s">
        <v>787</v>
      </c>
      <c r="D36" s="4"/>
      <c r="E36" s="73"/>
      <c r="F36" s="74"/>
    </row>
    <row r="37" spans="1:6" ht="25.5" x14ac:dyDescent="0.2">
      <c r="A37" s="35"/>
      <c r="B37" s="8" t="s">
        <v>840</v>
      </c>
      <c r="C37" s="43"/>
      <c r="D37" s="4"/>
      <c r="E37" s="181"/>
      <c r="F37" s="182"/>
    </row>
    <row r="38" spans="1:6" x14ac:dyDescent="0.2">
      <c r="A38" s="35" t="s">
        <v>816</v>
      </c>
      <c r="B38" s="8" t="s">
        <v>841</v>
      </c>
      <c r="C38" s="43" t="s">
        <v>788</v>
      </c>
      <c r="D38" s="4"/>
      <c r="E38" s="181"/>
      <c r="F38" s="182"/>
    </row>
    <row r="39" spans="1:6" x14ac:dyDescent="0.2">
      <c r="A39" s="180" t="s">
        <v>817</v>
      </c>
      <c r="B39" s="191" t="s">
        <v>842</v>
      </c>
      <c r="C39" s="44" t="s">
        <v>789</v>
      </c>
      <c r="D39" s="21"/>
      <c r="E39" s="185"/>
      <c r="F39" s="186"/>
    </row>
    <row r="40" spans="1:6" ht="38.25" x14ac:dyDescent="0.2">
      <c r="A40" s="35"/>
      <c r="B40" s="8" t="s">
        <v>843</v>
      </c>
      <c r="C40" s="43" t="s">
        <v>790</v>
      </c>
      <c r="D40" s="4"/>
      <c r="E40" s="73">
        <f>SUM(E20+E22+E24+E26+E29+E31+E33+E35+E38)</f>
        <v>824</v>
      </c>
      <c r="F40" s="74">
        <f>SUM(F20+F22+F24+F26+F29+F31+F33+F35+F38)</f>
        <v>25314</v>
      </c>
    </row>
    <row r="41" spans="1:6" ht="38.25" x14ac:dyDescent="0.2">
      <c r="A41" s="35"/>
      <c r="B41" s="8" t="s">
        <v>844</v>
      </c>
      <c r="C41" s="43" t="s">
        <v>791</v>
      </c>
      <c r="D41" s="4"/>
      <c r="E41" s="73">
        <f>SUM(E21+E23+E25+E27+E30+E32+E34+E36+E39)</f>
        <v>0</v>
      </c>
      <c r="F41" s="74">
        <f>SUM(F21+F23+F25+F27+F30+F32+F34+F36+F39)</f>
        <v>0</v>
      </c>
    </row>
    <row r="42" spans="1:6" ht="38.25" x14ac:dyDescent="0.2">
      <c r="A42" s="35"/>
      <c r="B42" s="8" t="s">
        <v>845</v>
      </c>
      <c r="C42" s="43" t="s">
        <v>792</v>
      </c>
      <c r="D42" s="4"/>
      <c r="E42" s="181"/>
      <c r="F42" s="182"/>
    </row>
    <row r="43" spans="1:6" ht="25.5" x14ac:dyDescent="0.2">
      <c r="A43" s="35"/>
      <c r="B43" s="8" t="s">
        <v>846</v>
      </c>
      <c r="C43" s="43" t="s">
        <v>793</v>
      </c>
      <c r="D43" s="4"/>
      <c r="E43" s="73">
        <f>SUM(E40-E41-E42)</f>
        <v>824</v>
      </c>
      <c r="F43" s="74">
        <f>SUM(F40-F41-F42)</f>
        <v>25314</v>
      </c>
    </row>
    <row r="44" spans="1:6" ht="25.5" x14ac:dyDescent="0.2">
      <c r="A44" s="35"/>
      <c r="B44" s="8" t="s">
        <v>847</v>
      </c>
      <c r="C44" s="43" t="s">
        <v>794</v>
      </c>
      <c r="D44" s="4"/>
      <c r="E44" s="73"/>
      <c r="F44" s="74"/>
    </row>
    <row r="45" spans="1:6" ht="24.95" customHeight="1" x14ac:dyDescent="0.2">
      <c r="A45" s="35"/>
      <c r="B45" s="8" t="s">
        <v>848</v>
      </c>
      <c r="C45" s="43"/>
      <c r="D45" s="4"/>
      <c r="E45" s="73"/>
      <c r="F45" s="182"/>
    </row>
    <row r="46" spans="1:6" ht="25.5" x14ac:dyDescent="0.2">
      <c r="A46" s="35"/>
      <c r="B46" s="8" t="s">
        <v>849</v>
      </c>
      <c r="C46" s="43" t="s">
        <v>795</v>
      </c>
      <c r="D46" s="4"/>
      <c r="E46" s="73">
        <f>+E16+E35-E17-E36</f>
        <v>342881</v>
      </c>
      <c r="F46" s="74"/>
    </row>
    <row r="47" spans="1:6" ht="25.5" x14ac:dyDescent="0.2">
      <c r="A47" s="35"/>
      <c r="B47" s="8" t="s">
        <v>850</v>
      </c>
      <c r="C47" s="43" t="s">
        <v>796</v>
      </c>
      <c r="D47" s="4"/>
      <c r="E47" s="73"/>
      <c r="F47" s="182"/>
    </row>
    <row r="48" spans="1:6" ht="25.5" x14ac:dyDescent="0.2">
      <c r="A48" s="35"/>
      <c r="B48" s="8" t="s">
        <v>851</v>
      </c>
      <c r="C48" s="43" t="s">
        <v>797</v>
      </c>
      <c r="D48" s="4"/>
      <c r="E48" s="181"/>
      <c r="F48" s="182"/>
    </row>
    <row r="49" spans="1:7" ht="25.5" x14ac:dyDescent="0.2">
      <c r="A49" s="35"/>
      <c r="B49" s="8" t="s">
        <v>852</v>
      </c>
      <c r="C49" s="43" t="s">
        <v>798</v>
      </c>
      <c r="D49" s="4"/>
      <c r="E49" s="73"/>
      <c r="F49" s="74">
        <f>SUM(-(F16+F43-F17-F44))</f>
        <v>49743</v>
      </c>
    </row>
    <row r="50" spans="1:7" ht="25.5" x14ac:dyDescent="0.2">
      <c r="A50" s="35"/>
      <c r="B50" s="8" t="s">
        <v>850</v>
      </c>
      <c r="C50" s="43" t="s">
        <v>799</v>
      </c>
      <c r="D50" s="4"/>
      <c r="E50" s="181"/>
      <c r="F50" s="182"/>
    </row>
    <row r="51" spans="1:7" ht="26.25" thickBot="1" x14ac:dyDescent="0.25">
      <c r="A51" s="177"/>
      <c r="B51" s="60" t="s">
        <v>851</v>
      </c>
      <c r="C51" s="45" t="s">
        <v>800</v>
      </c>
      <c r="D51" s="26"/>
      <c r="E51" s="187"/>
      <c r="F51" s="188"/>
    </row>
    <row r="52" spans="1:7" x14ac:dyDescent="0.2">
      <c r="E52" s="150"/>
      <c r="F52" s="150"/>
    </row>
    <row r="53" spans="1:7" x14ac:dyDescent="0.2">
      <c r="A53" s="13" t="s">
        <v>152</v>
      </c>
      <c r="B53" s="13"/>
      <c r="C53" s="13"/>
      <c r="D53" s="13"/>
      <c r="E53" s="284" t="s">
        <v>151</v>
      </c>
      <c r="F53" s="284"/>
      <c r="G53" s="14"/>
    </row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24" t="s">
        <v>853</v>
      </c>
      <c r="B55" s="24"/>
      <c r="C55" s="13"/>
      <c r="D55" s="13"/>
      <c r="E55" s="15"/>
      <c r="F55" s="15"/>
      <c r="G55" s="13"/>
    </row>
    <row r="56" spans="1:7" x14ac:dyDescent="0.2">
      <c r="A56" s="9"/>
      <c r="B56" s="1"/>
      <c r="C56" s="1"/>
      <c r="D56" s="1"/>
      <c r="E56" s="7"/>
      <c r="F56" s="7"/>
      <c r="G56" s="7"/>
    </row>
    <row r="61" spans="1:7" s="254" customFormat="1" x14ac:dyDescent="0.2"/>
    <row r="62" spans="1:7" x14ac:dyDescent="0.2">
      <c r="E62" s="255"/>
      <c r="F62" s="255"/>
    </row>
    <row r="63" spans="1:7" x14ac:dyDescent="0.2">
      <c r="E63" s="255"/>
      <c r="F63" s="255"/>
    </row>
    <row r="64" spans="1:7" x14ac:dyDescent="0.2">
      <c r="E64" s="255"/>
      <c r="F64" s="255"/>
    </row>
    <row r="65" spans="5:6" x14ac:dyDescent="0.2">
      <c r="E65" s="255"/>
      <c r="F65" s="255"/>
    </row>
    <row r="66" spans="5:6" x14ac:dyDescent="0.2">
      <c r="E66" s="255"/>
      <c r="F66" s="256"/>
    </row>
    <row r="67" spans="5:6" x14ac:dyDescent="0.2">
      <c r="E67" s="255"/>
      <c r="F67" s="255"/>
    </row>
    <row r="68" spans="5:6" x14ac:dyDescent="0.2">
      <c r="E68" s="268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opLeftCell="A44" workbookViewId="0">
      <selection activeCell="C81" sqref="C81"/>
    </sheetView>
  </sheetViews>
  <sheetFormatPr defaultRowHeight="12.75" x14ac:dyDescent="0.2"/>
  <cols>
    <col min="1" max="2" width="3.7109375" style="194" customWidth="1"/>
    <col min="3" max="3" width="55.140625" style="194" customWidth="1"/>
    <col min="4" max="4" width="5.7109375" style="194" customWidth="1"/>
    <col min="5" max="5" width="11.85546875" style="194" customWidth="1"/>
    <col min="6" max="6" width="12.7109375" style="194" customWidth="1"/>
    <col min="7" max="10" width="9.140625" style="194"/>
    <col min="11" max="11" width="10" style="194" bestFit="1" customWidth="1"/>
    <col min="12" max="16384" width="9.140625" style="194"/>
  </cols>
  <sheetData>
    <row r="1" spans="1:6" s="19" customFormat="1" ht="18.75" x14ac:dyDescent="0.2">
      <c r="A1" s="215" t="s">
        <v>449</v>
      </c>
    </row>
    <row r="2" spans="1:6" s="19" customFormat="1" ht="15.75" x14ac:dyDescent="0.2">
      <c r="A2" s="216" t="s">
        <v>150</v>
      </c>
    </row>
    <row r="3" spans="1:6" s="19" customFormat="1" ht="15.75" x14ac:dyDescent="0.2">
      <c r="A3" s="216" t="s">
        <v>451</v>
      </c>
    </row>
    <row r="4" spans="1:6" s="19" customFormat="1" ht="15.75" x14ac:dyDescent="0.2">
      <c r="A4" s="216" t="s">
        <v>450</v>
      </c>
    </row>
    <row r="7" spans="1:6" ht="17.25" customHeight="1" x14ac:dyDescent="0.2">
      <c r="A7" s="297" t="s">
        <v>854</v>
      </c>
      <c r="B7" s="297"/>
      <c r="C7" s="297"/>
      <c r="D7" s="297"/>
      <c r="E7" s="297"/>
      <c r="F7" s="297"/>
    </row>
    <row r="8" spans="1:6" ht="17.25" x14ac:dyDescent="0.2">
      <c r="A8" s="298" t="s">
        <v>855</v>
      </c>
      <c r="B8" s="298"/>
      <c r="C8" s="298"/>
      <c r="D8" s="298"/>
      <c r="E8" s="298"/>
      <c r="F8" s="298"/>
    </row>
    <row r="10" spans="1:6" x14ac:dyDescent="0.2">
      <c r="A10" s="195"/>
    </row>
    <row r="11" spans="1:6" ht="13.5" thickBot="1" x14ac:dyDescent="0.25">
      <c r="E11" s="195"/>
      <c r="F11" s="195" t="s">
        <v>0</v>
      </c>
    </row>
    <row r="12" spans="1:6" s="196" customFormat="1" ht="13.5" x14ac:dyDescent="0.2">
      <c r="A12" s="301" t="s">
        <v>856</v>
      </c>
      <c r="B12" s="302"/>
      <c r="C12" s="302"/>
      <c r="D12" s="302" t="s">
        <v>857</v>
      </c>
      <c r="E12" s="302" t="s">
        <v>858</v>
      </c>
      <c r="F12" s="305"/>
    </row>
    <row r="13" spans="1:6" s="196" customFormat="1" ht="27.75" thickBot="1" x14ac:dyDescent="0.25">
      <c r="A13" s="303"/>
      <c r="B13" s="304"/>
      <c r="C13" s="304"/>
      <c r="D13" s="304"/>
      <c r="E13" s="192" t="s">
        <v>1304</v>
      </c>
      <c r="F13" s="193" t="s">
        <v>1299</v>
      </c>
    </row>
    <row r="14" spans="1:6" x14ac:dyDescent="0.2">
      <c r="A14" s="306" t="s">
        <v>95</v>
      </c>
      <c r="B14" s="307"/>
      <c r="C14" s="307"/>
      <c r="D14" s="197" t="s">
        <v>1</v>
      </c>
      <c r="E14" s="197" t="s">
        <v>2</v>
      </c>
      <c r="F14" s="198" t="s">
        <v>3</v>
      </c>
    </row>
    <row r="15" spans="1:6" ht="13.5" x14ac:dyDescent="0.2">
      <c r="A15" s="199" t="s">
        <v>94</v>
      </c>
      <c r="B15" s="299" t="s">
        <v>96</v>
      </c>
      <c r="C15" s="300"/>
      <c r="D15" s="200"/>
      <c r="E15" s="200"/>
      <c r="F15" s="201"/>
    </row>
    <row r="16" spans="1:6" ht="13.5" x14ac:dyDescent="0.2">
      <c r="A16" s="202"/>
      <c r="B16" s="209" t="s">
        <v>97</v>
      </c>
      <c r="C16" s="210" t="s">
        <v>98</v>
      </c>
      <c r="D16" s="200" t="s">
        <v>4</v>
      </c>
      <c r="E16" s="245">
        <f>SUM(E17+E18+E19+E20+E21)</f>
        <v>5254076</v>
      </c>
      <c r="F16" s="246">
        <f>SUM(F17+F18+F19+F20+F21)</f>
        <v>3603322</v>
      </c>
    </row>
    <row r="17" spans="1:6" ht="13.5" x14ac:dyDescent="0.2">
      <c r="A17" s="202"/>
      <c r="B17" s="211"/>
      <c r="C17" s="211" t="s">
        <v>5</v>
      </c>
      <c r="D17" s="200" t="s">
        <v>6</v>
      </c>
      <c r="E17" s="247"/>
      <c r="F17" s="248"/>
    </row>
    <row r="18" spans="1:6" ht="13.5" x14ac:dyDescent="0.2">
      <c r="A18" s="202"/>
      <c r="B18" s="211"/>
      <c r="C18" s="211" t="s">
        <v>7</v>
      </c>
      <c r="D18" s="200" t="s">
        <v>8</v>
      </c>
      <c r="E18" s="247">
        <v>2541451</v>
      </c>
      <c r="F18" s="248">
        <v>2827750</v>
      </c>
    </row>
    <row r="19" spans="1:6" ht="13.5" x14ac:dyDescent="0.2">
      <c r="A19" s="202"/>
      <c r="B19" s="211"/>
      <c r="C19" s="211" t="s">
        <v>9</v>
      </c>
      <c r="D19" s="200" t="s">
        <v>10</v>
      </c>
      <c r="E19" s="247">
        <v>2347629</v>
      </c>
      <c r="F19" s="248">
        <v>400057</v>
      </c>
    </row>
    <row r="20" spans="1:6" ht="13.5" x14ac:dyDescent="0.2">
      <c r="A20" s="202"/>
      <c r="B20" s="211"/>
      <c r="C20" s="211" t="s">
        <v>11</v>
      </c>
      <c r="D20" s="200" t="s">
        <v>12</v>
      </c>
      <c r="E20" s="247"/>
      <c r="F20" s="248"/>
    </row>
    <row r="21" spans="1:6" ht="13.5" x14ac:dyDescent="0.2">
      <c r="A21" s="202"/>
      <c r="B21" s="211"/>
      <c r="C21" s="211" t="s">
        <v>13</v>
      </c>
      <c r="D21" s="200" t="s">
        <v>14</v>
      </c>
      <c r="E21" s="247">
        <v>364996</v>
      </c>
      <c r="F21" s="248">
        <v>375515</v>
      </c>
    </row>
    <row r="22" spans="1:6" ht="13.5" x14ac:dyDescent="0.2">
      <c r="A22" s="202"/>
      <c r="B22" s="209" t="s">
        <v>99</v>
      </c>
      <c r="C22" s="209" t="s">
        <v>100</v>
      </c>
      <c r="D22" s="200" t="s">
        <v>15</v>
      </c>
      <c r="E22" s="245">
        <f>SUM(E23+E24+E25+E26+E27+E28+E29+E30+E31)</f>
        <v>5459568</v>
      </c>
      <c r="F22" s="246">
        <f>SUM(F23+F24+F25+F26+F27+F28+F29+F30+F31)</f>
        <v>3757452</v>
      </c>
    </row>
    <row r="23" spans="1:6" ht="27" customHeight="1" x14ac:dyDescent="0.2">
      <c r="A23" s="202"/>
      <c r="B23" s="211"/>
      <c r="C23" s="212" t="s">
        <v>16</v>
      </c>
      <c r="D23" s="200" t="s">
        <v>17</v>
      </c>
      <c r="E23" s="247"/>
      <c r="F23" s="248"/>
    </row>
    <row r="24" spans="1:6" ht="27" x14ac:dyDescent="0.2">
      <c r="A24" s="202"/>
      <c r="B24" s="211"/>
      <c r="C24" s="212" t="s">
        <v>18</v>
      </c>
      <c r="D24" s="200" t="s">
        <v>19</v>
      </c>
      <c r="E24" s="247">
        <v>2811375</v>
      </c>
      <c r="F24" s="248">
        <v>789488</v>
      </c>
    </row>
    <row r="25" spans="1:6" ht="13.5" x14ac:dyDescent="0.2">
      <c r="A25" s="202"/>
      <c r="B25" s="212"/>
      <c r="C25" s="212" t="s">
        <v>20</v>
      </c>
      <c r="D25" s="200" t="s">
        <v>21</v>
      </c>
      <c r="E25" s="247">
        <v>2414666</v>
      </c>
      <c r="F25" s="248">
        <v>2778475</v>
      </c>
    </row>
    <row r="26" spans="1:6" ht="13.5" x14ac:dyDescent="0.2">
      <c r="A26" s="202"/>
      <c r="B26" s="212"/>
      <c r="C26" s="212" t="s">
        <v>22</v>
      </c>
      <c r="D26" s="200" t="s">
        <v>23</v>
      </c>
      <c r="E26" s="247">
        <v>153364</v>
      </c>
      <c r="F26" s="248">
        <v>107563</v>
      </c>
    </row>
    <row r="27" spans="1:6" ht="13.5" x14ac:dyDescent="0.2">
      <c r="A27" s="202"/>
      <c r="B27" s="212"/>
      <c r="C27" s="212" t="s">
        <v>24</v>
      </c>
      <c r="D27" s="200" t="s">
        <v>25</v>
      </c>
      <c r="E27" s="247">
        <v>68800</v>
      </c>
      <c r="F27" s="248">
        <v>52666</v>
      </c>
    </row>
    <row r="28" spans="1:6" ht="13.5" x14ac:dyDescent="0.2">
      <c r="A28" s="202"/>
      <c r="B28" s="212"/>
      <c r="C28" s="212" t="s">
        <v>26</v>
      </c>
      <c r="D28" s="200" t="s">
        <v>27</v>
      </c>
      <c r="E28" s="247"/>
      <c r="F28" s="248">
        <v>303</v>
      </c>
    </row>
    <row r="29" spans="1:6" ht="13.5" x14ac:dyDescent="0.2">
      <c r="A29" s="202"/>
      <c r="B29" s="212"/>
      <c r="C29" s="212" t="s">
        <v>28</v>
      </c>
      <c r="D29" s="200" t="s">
        <v>29</v>
      </c>
      <c r="E29" s="247"/>
      <c r="F29" s="248">
        <v>18665</v>
      </c>
    </row>
    <row r="30" spans="1:6" ht="13.5" x14ac:dyDescent="0.2">
      <c r="A30" s="202"/>
      <c r="B30" s="212"/>
      <c r="C30" s="212" t="s">
        <v>30</v>
      </c>
      <c r="D30" s="200" t="s">
        <v>31</v>
      </c>
      <c r="E30" s="247">
        <v>11363</v>
      </c>
      <c r="F30" s="248">
        <v>10292</v>
      </c>
    </row>
    <row r="31" spans="1:6" ht="13.5" x14ac:dyDescent="0.2">
      <c r="A31" s="202"/>
      <c r="B31" s="212"/>
      <c r="C31" s="212" t="s">
        <v>32</v>
      </c>
      <c r="D31" s="200" t="s">
        <v>33</v>
      </c>
      <c r="E31" s="247"/>
      <c r="F31" s="248"/>
    </row>
    <row r="32" spans="1:6" ht="13.5" x14ac:dyDescent="0.2">
      <c r="A32" s="202"/>
      <c r="B32" s="210" t="s">
        <v>101</v>
      </c>
      <c r="C32" s="210" t="s">
        <v>102</v>
      </c>
      <c r="D32" s="200" t="s">
        <v>34</v>
      </c>
      <c r="E32" s="245"/>
      <c r="F32" s="246"/>
    </row>
    <row r="33" spans="1:8" ht="13.5" x14ac:dyDescent="0.2">
      <c r="A33" s="202"/>
      <c r="B33" s="210" t="s">
        <v>103</v>
      </c>
      <c r="C33" s="210" t="s">
        <v>104</v>
      </c>
      <c r="D33" s="200" t="s">
        <v>35</v>
      </c>
      <c r="E33" s="245">
        <f>+E22-E16</f>
        <v>205492</v>
      </c>
      <c r="F33" s="246">
        <f>SUM(F22-F16)</f>
        <v>154130</v>
      </c>
    </row>
    <row r="34" spans="1:8" ht="24.95" customHeight="1" x14ac:dyDescent="0.2">
      <c r="A34" s="199" t="s">
        <v>105</v>
      </c>
      <c r="B34" s="299" t="s">
        <v>106</v>
      </c>
      <c r="C34" s="300"/>
      <c r="D34" s="200"/>
      <c r="E34" s="245"/>
      <c r="F34" s="246"/>
    </row>
    <row r="35" spans="1:8" ht="24.95" customHeight="1" x14ac:dyDescent="0.2">
      <c r="A35" s="199"/>
      <c r="B35" s="210" t="s">
        <v>97</v>
      </c>
      <c r="C35" s="210" t="s">
        <v>107</v>
      </c>
      <c r="D35" s="200" t="s">
        <v>36</v>
      </c>
      <c r="E35" s="245">
        <f>SUM(E36+E37+E38+E39+E40)</f>
        <v>31972</v>
      </c>
      <c r="F35" s="246">
        <f>SUM(F36+F37+F38+F39+F40)</f>
        <v>34799</v>
      </c>
    </row>
    <row r="36" spans="1:8" ht="13.5" x14ac:dyDescent="0.2">
      <c r="A36" s="202"/>
      <c r="B36" s="212"/>
      <c r="C36" s="212" t="s">
        <v>37</v>
      </c>
      <c r="D36" s="200" t="s">
        <v>38</v>
      </c>
      <c r="E36" s="247"/>
      <c r="F36" s="248"/>
    </row>
    <row r="37" spans="1:8" ht="24.95" customHeight="1" x14ac:dyDescent="0.2">
      <c r="A37" s="202"/>
      <c r="B37" s="212"/>
      <c r="C37" s="212" t="s">
        <v>39</v>
      </c>
      <c r="D37" s="200" t="s">
        <v>40</v>
      </c>
      <c r="E37" s="247"/>
      <c r="F37" s="248"/>
    </row>
    <row r="38" spans="1:8" ht="24.95" customHeight="1" x14ac:dyDescent="0.2">
      <c r="A38" s="203"/>
      <c r="B38" s="213"/>
      <c r="C38" s="213" t="s">
        <v>41</v>
      </c>
      <c r="D38" s="204" t="s">
        <v>42</v>
      </c>
      <c r="E38" s="249"/>
      <c r="F38" s="250"/>
      <c r="G38" s="205"/>
      <c r="H38" s="205"/>
    </row>
    <row r="39" spans="1:8" ht="13.5" x14ac:dyDescent="0.2">
      <c r="A39" s="202"/>
      <c r="B39" s="212"/>
      <c r="C39" s="212" t="s">
        <v>43</v>
      </c>
      <c r="D39" s="200" t="s">
        <v>44</v>
      </c>
      <c r="E39" s="247">
        <v>30165</v>
      </c>
      <c r="F39" s="248">
        <v>34799</v>
      </c>
    </row>
    <row r="40" spans="1:8" ht="13.5" x14ac:dyDescent="0.2">
      <c r="A40" s="202"/>
      <c r="B40" s="212"/>
      <c r="C40" s="212" t="s">
        <v>45</v>
      </c>
      <c r="D40" s="200" t="s">
        <v>46</v>
      </c>
      <c r="E40" s="247">
        <v>1807</v>
      </c>
      <c r="F40" s="248"/>
    </row>
    <row r="41" spans="1:8" ht="27" x14ac:dyDescent="0.2">
      <c r="A41" s="202"/>
      <c r="B41" s="210" t="s">
        <v>99</v>
      </c>
      <c r="C41" s="210" t="s">
        <v>108</v>
      </c>
      <c r="D41" s="200" t="s">
        <v>47</v>
      </c>
      <c r="E41" s="245">
        <f>SUM(E42+E43+E44)</f>
        <v>296128</v>
      </c>
      <c r="F41" s="246">
        <f>SUM(F42+F43+F44)</f>
        <v>258013</v>
      </c>
    </row>
    <row r="42" spans="1:8" ht="13.5" x14ac:dyDescent="0.2">
      <c r="A42" s="202"/>
      <c r="B42" s="212"/>
      <c r="C42" s="212" t="s">
        <v>48</v>
      </c>
      <c r="D42" s="200" t="s">
        <v>49</v>
      </c>
      <c r="E42" s="247"/>
      <c r="F42" s="248"/>
    </row>
    <row r="43" spans="1:8" ht="24.95" customHeight="1" x14ac:dyDescent="0.2">
      <c r="A43" s="202"/>
      <c r="B43" s="212"/>
      <c r="C43" s="212" t="s">
        <v>50</v>
      </c>
      <c r="D43" s="200" t="s">
        <v>51</v>
      </c>
      <c r="E43" s="247">
        <v>16161</v>
      </c>
      <c r="F43" s="248">
        <v>311</v>
      </c>
    </row>
    <row r="44" spans="1:8" ht="27" x14ac:dyDescent="0.2">
      <c r="A44" s="203"/>
      <c r="B44" s="213"/>
      <c r="C44" s="214" t="s">
        <v>133</v>
      </c>
      <c r="D44" s="204" t="s">
        <v>52</v>
      </c>
      <c r="E44" s="249">
        <v>279967</v>
      </c>
      <c r="F44" s="251">
        <v>257702</v>
      </c>
      <c r="G44" s="205"/>
      <c r="H44" s="206"/>
    </row>
    <row r="45" spans="1:8" ht="27" x14ac:dyDescent="0.2">
      <c r="A45" s="202"/>
      <c r="B45" s="210" t="s">
        <v>101</v>
      </c>
      <c r="C45" s="210" t="s">
        <v>109</v>
      </c>
      <c r="D45" s="200" t="s">
        <v>53</v>
      </c>
      <c r="E45" s="245"/>
      <c r="F45" s="246"/>
    </row>
    <row r="46" spans="1:8" ht="13.5" x14ac:dyDescent="0.2">
      <c r="A46" s="202"/>
      <c r="B46" s="210" t="s">
        <v>103</v>
      </c>
      <c r="C46" s="210" t="s">
        <v>110</v>
      </c>
      <c r="D46" s="200" t="s">
        <v>54</v>
      </c>
      <c r="E46" s="245">
        <f>SUM(E41-E35)</f>
        <v>264156</v>
      </c>
      <c r="F46" s="246">
        <f>SUM(F41-F35)</f>
        <v>223214</v>
      </c>
    </row>
    <row r="47" spans="1:8" ht="13.5" x14ac:dyDescent="0.2">
      <c r="A47" s="199" t="s">
        <v>111</v>
      </c>
      <c r="B47" s="310" t="s">
        <v>112</v>
      </c>
      <c r="C47" s="310"/>
      <c r="D47" s="200"/>
      <c r="E47" s="247"/>
      <c r="F47" s="248"/>
    </row>
    <row r="48" spans="1:8" ht="27" x14ac:dyDescent="0.2">
      <c r="A48" s="202"/>
      <c r="B48" s="210" t="s">
        <v>97</v>
      </c>
      <c r="C48" s="210" t="s">
        <v>113</v>
      </c>
      <c r="D48" s="200" t="s">
        <v>55</v>
      </c>
      <c r="E48" s="245">
        <f>SUM(E49+E50+E51+E52+E53)</f>
        <v>125</v>
      </c>
      <c r="F48" s="246">
        <f>SUM(F49+F50+F51+F52+F53)</f>
        <v>132</v>
      </c>
    </row>
    <row r="49" spans="1:6" ht="13.5" x14ac:dyDescent="0.2">
      <c r="A49" s="202"/>
      <c r="B49" s="212"/>
      <c r="C49" s="212" t="s">
        <v>56</v>
      </c>
      <c r="D49" s="200" t="s">
        <v>57</v>
      </c>
      <c r="E49" s="247"/>
      <c r="F49" s="248"/>
    </row>
    <row r="50" spans="1:6" ht="13.5" x14ac:dyDescent="0.2">
      <c r="A50" s="202"/>
      <c r="B50" s="212"/>
      <c r="C50" s="212" t="s">
        <v>58</v>
      </c>
      <c r="D50" s="200" t="s">
        <v>59</v>
      </c>
      <c r="E50" s="247">
        <v>125</v>
      </c>
      <c r="F50" s="248">
        <v>132</v>
      </c>
    </row>
    <row r="51" spans="1:6" ht="13.5" x14ac:dyDescent="0.2">
      <c r="A51" s="202"/>
      <c r="B51" s="212"/>
      <c r="C51" s="212" t="s">
        <v>60</v>
      </c>
      <c r="D51" s="200" t="s">
        <v>61</v>
      </c>
      <c r="E51" s="247"/>
      <c r="F51" s="248"/>
    </row>
    <row r="52" spans="1:6" ht="13.5" x14ac:dyDescent="0.2">
      <c r="A52" s="202"/>
      <c r="B52" s="212"/>
      <c r="C52" s="212" t="s">
        <v>62</v>
      </c>
      <c r="D52" s="200" t="s">
        <v>63</v>
      </c>
      <c r="E52" s="247"/>
      <c r="F52" s="248"/>
    </row>
    <row r="53" spans="1:6" ht="13.5" x14ac:dyDescent="0.2">
      <c r="A53" s="202"/>
      <c r="B53" s="212"/>
      <c r="C53" s="212" t="s">
        <v>64</v>
      </c>
      <c r="D53" s="200" t="s">
        <v>65</v>
      </c>
      <c r="E53" s="247"/>
      <c r="F53" s="248"/>
    </row>
    <row r="54" spans="1:6" ht="27" x14ac:dyDescent="0.2">
      <c r="A54" s="202"/>
      <c r="B54" s="210" t="s">
        <v>99</v>
      </c>
      <c r="C54" s="210" t="s">
        <v>114</v>
      </c>
      <c r="D54" s="200" t="s">
        <v>66</v>
      </c>
      <c r="E54" s="245">
        <f>SUM(E55+E56+E57+E58+E59+E60+E61)</f>
        <v>0</v>
      </c>
      <c r="F54" s="246">
        <f>SUM(F55+F56+F57+F58+F59+F60+F61)</f>
        <v>0</v>
      </c>
    </row>
    <row r="55" spans="1:6" ht="13.5" x14ac:dyDescent="0.2">
      <c r="A55" s="202"/>
      <c r="B55" s="212"/>
      <c r="C55" s="212" t="s">
        <v>67</v>
      </c>
      <c r="D55" s="200" t="s">
        <v>68</v>
      </c>
      <c r="E55" s="247"/>
      <c r="F55" s="248"/>
    </row>
    <row r="56" spans="1:6" ht="13.5" x14ac:dyDescent="0.2">
      <c r="A56" s="202"/>
      <c r="B56" s="212"/>
      <c r="C56" s="212" t="s">
        <v>69</v>
      </c>
      <c r="D56" s="200" t="s">
        <v>70</v>
      </c>
      <c r="E56" s="247"/>
      <c r="F56" s="248"/>
    </row>
    <row r="57" spans="1:6" ht="13.5" x14ac:dyDescent="0.2">
      <c r="A57" s="202"/>
      <c r="B57" s="211"/>
      <c r="C57" s="211" t="s">
        <v>71</v>
      </c>
      <c r="D57" s="200" t="s">
        <v>72</v>
      </c>
      <c r="E57" s="247"/>
      <c r="F57" s="248"/>
    </row>
    <row r="58" spans="1:6" ht="13.5" x14ac:dyDescent="0.2">
      <c r="A58" s="202"/>
      <c r="B58" s="211"/>
      <c r="C58" s="211" t="s">
        <v>62</v>
      </c>
      <c r="D58" s="200" t="s">
        <v>73</v>
      </c>
      <c r="E58" s="247"/>
      <c r="F58" s="248"/>
    </row>
    <row r="59" spans="1:6" ht="13.5" x14ac:dyDescent="0.2">
      <c r="A59" s="202"/>
      <c r="B59" s="211"/>
      <c r="C59" s="211" t="s">
        <v>64</v>
      </c>
      <c r="D59" s="200" t="s">
        <v>74</v>
      </c>
      <c r="E59" s="247"/>
      <c r="F59" s="248"/>
    </row>
    <row r="60" spans="1:6" ht="13.5" x14ac:dyDescent="0.2">
      <c r="A60" s="202"/>
      <c r="B60" s="211"/>
      <c r="C60" s="211" t="s">
        <v>75</v>
      </c>
      <c r="D60" s="200" t="s">
        <v>76</v>
      </c>
      <c r="E60" s="247"/>
      <c r="F60" s="248"/>
    </row>
    <row r="61" spans="1:6" ht="13.5" x14ac:dyDescent="0.2">
      <c r="A61" s="202"/>
      <c r="B61" s="211"/>
      <c r="C61" s="211" t="s">
        <v>77</v>
      </c>
      <c r="D61" s="200" t="s">
        <v>78</v>
      </c>
      <c r="E61" s="247"/>
      <c r="F61" s="248"/>
    </row>
    <row r="62" spans="1:6" ht="27" x14ac:dyDescent="0.2">
      <c r="A62" s="202"/>
      <c r="B62" s="209" t="s">
        <v>101</v>
      </c>
      <c r="C62" s="210" t="s">
        <v>115</v>
      </c>
      <c r="D62" s="200" t="s">
        <v>79</v>
      </c>
      <c r="E62" s="245">
        <f>SUM(E48-E54)</f>
        <v>125</v>
      </c>
      <c r="F62" s="246">
        <f>SUM(F48-F54)</f>
        <v>132</v>
      </c>
    </row>
    <row r="63" spans="1:6" ht="27" x14ac:dyDescent="0.2">
      <c r="A63" s="202"/>
      <c r="B63" s="209" t="s">
        <v>103</v>
      </c>
      <c r="C63" s="210" t="s">
        <v>116</v>
      </c>
      <c r="D63" s="200" t="s">
        <v>80</v>
      </c>
      <c r="E63" s="245"/>
      <c r="F63" s="246"/>
    </row>
    <row r="64" spans="1:6" ht="13.5" x14ac:dyDescent="0.2">
      <c r="A64" s="199" t="s">
        <v>117</v>
      </c>
      <c r="B64" s="296" t="s">
        <v>118</v>
      </c>
      <c r="C64" s="296"/>
      <c r="D64" s="200" t="s">
        <v>81</v>
      </c>
      <c r="E64" s="245">
        <f>SUM(E16+E35+E48)</f>
        <v>5286173</v>
      </c>
      <c r="F64" s="246">
        <f>SUM(F16+F35+F48)</f>
        <v>3638253</v>
      </c>
    </row>
    <row r="65" spans="1:7" ht="13.5" x14ac:dyDescent="0.2">
      <c r="A65" s="199" t="s">
        <v>119</v>
      </c>
      <c r="B65" s="296" t="s">
        <v>120</v>
      </c>
      <c r="C65" s="296"/>
      <c r="D65" s="200" t="s">
        <v>82</v>
      </c>
      <c r="E65" s="245">
        <f>SUM(E22+E41+E54)</f>
        <v>5755696</v>
      </c>
      <c r="F65" s="246">
        <f>SUM(F22+F41+F54)</f>
        <v>4015465</v>
      </c>
    </row>
    <row r="66" spans="1:7" ht="13.5" x14ac:dyDescent="0.2">
      <c r="A66" s="199" t="s">
        <v>121</v>
      </c>
      <c r="B66" s="296" t="s">
        <v>122</v>
      </c>
      <c r="C66" s="296"/>
      <c r="D66" s="200" t="s">
        <v>83</v>
      </c>
      <c r="E66" s="245"/>
      <c r="F66" s="246"/>
    </row>
    <row r="67" spans="1:7" ht="13.5" x14ac:dyDescent="0.2">
      <c r="A67" s="199" t="s">
        <v>123</v>
      </c>
      <c r="B67" s="296" t="s">
        <v>124</v>
      </c>
      <c r="C67" s="296"/>
      <c r="D67" s="200" t="s">
        <v>84</v>
      </c>
      <c r="E67" s="245">
        <f>SUM(E65-E64)</f>
        <v>469523</v>
      </c>
      <c r="F67" s="246">
        <f>+F65-F64</f>
        <v>377212</v>
      </c>
    </row>
    <row r="68" spans="1:7" ht="13.5" x14ac:dyDescent="0.2">
      <c r="A68" s="199" t="s">
        <v>125</v>
      </c>
      <c r="B68" s="296" t="s">
        <v>126</v>
      </c>
      <c r="C68" s="296"/>
      <c r="D68" s="200" t="s">
        <v>85</v>
      </c>
      <c r="E68" s="247">
        <v>842881</v>
      </c>
      <c r="F68" s="248">
        <v>1174545</v>
      </c>
    </row>
    <row r="69" spans="1:7" ht="13.5" x14ac:dyDescent="0.2">
      <c r="A69" s="199" t="s">
        <v>127</v>
      </c>
      <c r="B69" s="296" t="s">
        <v>128</v>
      </c>
      <c r="C69" s="296"/>
      <c r="D69" s="200" t="s">
        <v>86</v>
      </c>
      <c r="E69" s="247">
        <v>22485</v>
      </c>
      <c r="F69" s="248">
        <v>46055</v>
      </c>
    </row>
    <row r="70" spans="1:7" ht="13.5" x14ac:dyDescent="0.2">
      <c r="A70" s="199" t="s">
        <v>129</v>
      </c>
      <c r="B70" s="296" t="s">
        <v>130</v>
      </c>
      <c r="C70" s="296"/>
      <c r="D70" s="200" t="s">
        <v>87</v>
      </c>
      <c r="E70" s="247">
        <v>13201</v>
      </c>
      <c r="F70" s="248">
        <v>507</v>
      </c>
    </row>
    <row r="71" spans="1:7" ht="24.95" customHeight="1" thickBot="1" x14ac:dyDescent="0.25">
      <c r="A71" s="207" t="s">
        <v>131</v>
      </c>
      <c r="B71" s="308" t="s">
        <v>132</v>
      </c>
      <c r="C71" s="309"/>
      <c r="D71" s="208" t="s">
        <v>88</v>
      </c>
      <c r="E71" s="252">
        <f>SUM(E66-E67+E68+E69-E70)</f>
        <v>382642</v>
      </c>
      <c r="F71" s="253">
        <f>SUM(F66-F67+F68+F69-F70)</f>
        <v>842881</v>
      </c>
    </row>
    <row r="73" spans="1:7" s="17" customFormat="1" x14ac:dyDescent="0.2">
      <c r="A73" s="13" t="s">
        <v>152</v>
      </c>
      <c r="B73" s="13"/>
      <c r="C73" s="13"/>
      <c r="D73" s="13"/>
      <c r="E73" s="284" t="s">
        <v>151</v>
      </c>
      <c r="F73" s="284"/>
      <c r="G73" s="14"/>
    </row>
    <row r="74" spans="1:7" s="17" customFormat="1" x14ac:dyDescent="0.2">
      <c r="A74" s="13"/>
      <c r="B74" s="13"/>
      <c r="C74" s="13"/>
      <c r="D74" s="13"/>
      <c r="E74" s="13"/>
      <c r="F74" s="13"/>
      <c r="G74" s="13"/>
    </row>
    <row r="75" spans="1:7" s="17" customFormat="1" x14ac:dyDescent="0.2">
      <c r="A75" s="24" t="s">
        <v>853</v>
      </c>
      <c r="B75" s="24"/>
      <c r="C75" s="13"/>
      <c r="D75" s="13"/>
      <c r="E75" s="15"/>
      <c r="F75" s="15"/>
      <c r="G75" s="13"/>
    </row>
    <row r="80" spans="1:7" x14ac:dyDescent="0.2">
      <c r="E80" s="269">
        <f>+E71-E79</f>
        <v>382642</v>
      </c>
    </row>
  </sheetData>
  <mergeCells count="18">
    <mergeCell ref="B65:C65"/>
    <mergeCell ref="B66:C66"/>
    <mergeCell ref="B67:C67"/>
    <mergeCell ref="B68:C68"/>
    <mergeCell ref="A7:F7"/>
    <mergeCell ref="A8:F8"/>
    <mergeCell ref="E73:F73"/>
    <mergeCell ref="B34:C34"/>
    <mergeCell ref="A12:C13"/>
    <mergeCell ref="D12:D13"/>
    <mergeCell ref="E12:F12"/>
    <mergeCell ref="A14:C14"/>
    <mergeCell ref="B15:C15"/>
    <mergeCell ref="B69:C69"/>
    <mergeCell ref="B70:C70"/>
    <mergeCell ref="B71:C71"/>
    <mergeCell ref="B47:C47"/>
    <mergeCell ref="B64:C64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view="pageBreakPreview" topLeftCell="A41" zoomScaleNormal="100" zoomScaleSheetLayoutView="100" workbookViewId="0">
      <selection activeCell="A6" sqref="A6:AD56"/>
    </sheetView>
  </sheetViews>
  <sheetFormatPr defaultRowHeight="12.75" x14ac:dyDescent="0.2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 x14ac:dyDescent="0.2">
      <c r="A1" s="215" t="s">
        <v>449</v>
      </c>
      <c r="B1" s="2"/>
      <c r="C1" s="217"/>
      <c r="D1" s="217"/>
    </row>
    <row r="2" spans="1:32" ht="15.75" x14ac:dyDescent="0.2">
      <c r="A2" s="216" t="s">
        <v>150</v>
      </c>
      <c r="B2" s="2"/>
    </row>
    <row r="3" spans="1:32" ht="15.75" x14ac:dyDescent="0.2">
      <c r="A3" s="216" t="s">
        <v>451</v>
      </c>
      <c r="B3" s="2"/>
    </row>
    <row r="4" spans="1:32" ht="15.75" x14ac:dyDescent="0.2">
      <c r="A4" s="216" t="s">
        <v>450</v>
      </c>
      <c r="B4" s="2"/>
    </row>
    <row r="5" spans="1:32" ht="15.75" x14ac:dyDescent="0.2">
      <c r="A5" s="216"/>
      <c r="B5" s="2"/>
    </row>
    <row r="6" spans="1:32" ht="15.75" x14ac:dyDescent="0.25">
      <c r="A6" s="311" t="s">
        <v>149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</row>
    <row r="7" spans="1:32" ht="15.75" x14ac:dyDescent="0.25">
      <c r="A7" s="311" t="s">
        <v>1305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</row>
    <row r="8" spans="1:32" ht="13.5" thickBot="1" x14ac:dyDescent="0.25"/>
    <row r="9" spans="1:32" s="112" customFormat="1" ht="57" customHeight="1" x14ac:dyDescent="0.2">
      <c r="A9" s="34" t="s">
        <v>1267</v>
      </c>
      <c r="B9" s="53" t="s">
        <v>1268</v>
      </c>
      <c r="C9" s="318" t="s">
        <v>135</v>
      </c>
      <c r="D9" s="219" t="s">
        <v>134</v>
      </c>
      <c r="E9" s="314" t="s">
        <v>135</v>
      </c>
      <c r="F9" s="219" t="s">
        <v>1269</v>
      </c>
      <c r="G9" s="314" t="s">
        <v>135</v>
      </c>
      <c r="H9" s="219" t="s">
        <v>1270</v>
      </c>
      <c r="I9" s="314" t="s">
        <v>135</v>
      </c>
      <c r="J9" s="219" t="s">
        <v>1271</v>
      </c>
      <c r="K9" s="314" t="s">
        <v>135</v>
      </c>
      <c r="L9" s="219" t="s">
        <v>136</v>
      </c>
      <c r="M9" s="314" t="s">
        <v>135</v>
      </c>
      <c r="N9" s="219" t="s">
        <v>137</v>
      </c>
      <c r="O9" s="314" t="s">
        <v>135</v>
      </c>
      <c r="P9" s="219" t="s">
        <v>1272</v>
      </c>
      <c r="Q9" s="314" t="s">
        <v>135</v>
      </c>
      <c r="R9" s="219" t="s">
        <v>138</v>
      </c>
      <c r="S9" s="314" t="s">
        <v>135</v>
      </c>
      <c r="T9" s="219" t="s">
        <v>139</v>
      </c>
      <c r="U9" s="314" t="s">
        <v>135</v>
      </c>
      <c r="V9" s="219" t="s">
        <v>140</v>
      </c>
      <c r="W9" s="314" t="s">
        <v>135</v>
      </c>
      <c r="X9" s="219" t="s">
        <v>1273</v>
      </c>
      <c r="Y9" s="314" t="s">
        <v>135</v>
      </c>
      <c r="Z9" s="219" t="s">
        <v>1274</v>
      </c>
      <c r="AA9" s="314" t="s">
        <v>135</v>
      </c>
      <c r="AB9" s="219" t="s">
        <v>1275</v>
      </c>
      <c r="AC9" s="314" t="s">
        <v>135</v>
      </c>
      <c r="AD9" s="220" t="s">
        <v>1276</v>
      </c>
    </row>
    <row r="10" spans="1:32" s="19" customFormat="1" ht="13.5" thickBot="1" x14ac:dyDescent="0.25">
      <c r="A10" s="316" t="s">
        <v>859</v>
      </c>
      <c r="B10" s="317"/>
      <c r="C10" s="319"/>
      <c r="D10" s="45" t="s">
        <v>860</v>
      </c>
      <c r="E10" s="315"/>
      <c r="F10" s="45" t="s">
        <v>861</v>
      </c>
      <c r="G10" s="315"/>
      <c r="H10" s="45" t="s">
        <v>862</v>
      </c>
      <c r="I10" s="315"/>
      <c r="J10" s="45" t="s">
        <v>863</v>
      </c>
      <c r="K10" s="315"/>
      <c r="L10" s="45" t="s">
        <v>864</v>
      </c>
      <c r="M10" s="315"/>
      <c r="N10" s="45" t="s">
        <v>865</v>
      </c>
      <c r="O10" s="315"/>
      <c r="P10" s="45" t="s">
        <v>866</v>
      </c>
      <c r="Q10" s="315"/>
      <c r="R10" s="45" t="s">
        <v>867</v>
      </c>
      <c r="S10" s="315"/>
      <c r="T10" s="45" t="s">
        <v>868</v>
      </c>
      <c r="U10" s="315"/>
      <c r="V10" s="45" t="s">
        <v>869</v>
      </c>
      <c r="W10" s="315"/>
      <c r="X10" s="45" t="s">
        <v>870</v>
      </c>
      <c r="Y10" s="315"/>
      <c r="Z10" s="45" t="s">
        <v>871</v>
      </c>
      <c r="AA10" s="315"/>
      <c r="AB10" s="45" t="s">
        <v>872</v>
      </c>
      <c r="AC10" s="315"/>
      <c r="AD10" s="134" t="s">
        <v>873</v>
      </c>
    </row>
    <row r="11" spans="1:32" s="18" customFormat="1" ht="42" customHeight="1" x14ac:dyDescent="0.2">
      <c r="A11" s="29" t="s">
        <v>874</v>
      </c>
      <c r="B11" s="221" t="s">
        <v>1278</v>
      </c>
      <c r="C11" s="222" t="s">
        <v>875</v>
      </c>
      <c r="D11" s="223">
        <f>729747+35055</f>
        <v>764802</v>
      </c>
      <c r="E11" s="44" t="s">
        <v>876</v>
      </c>
      <c r="F11" s="223">
        <v>3444</v>
      </c>
      <c r="G11" s="224" t="s">
        <v>877</v>
      </c>
      <c r="H11" s="67"/>
      <c r="I11" s="224" t="s">
        <v>878</v>
      </c>
      <c r="J11" s="223">
        <v>57996</v>
      </c>
      <c r="K11" s="44" t="s">
        <v>879</v>
      </c>
      <c r="L11" s="223">
        <f>153737+23</f>
        <v>153760</v>
      </c>
      <c r="M11" s="44" t="s">
        <v>880</v>
      </c>
      <c r="N11" s="223">
        <f>3442+10348</f>
        <v>13790</v>
      </c>
      <c r="O11" s="224" t="s">
        <v>881</v>
      </c>
      <c r="P11" s="223">
        <v>363463</v>
      </c>
      <c r="Q11" s="224" t="s">
        <v>882</v>
      </c>
      <c r="R11" s="223">
        <f>SUM(D11+F11+H11+J11+L11+N11+P11)</f>
        <v>1357255</v>
      </c>
      <c r="S11" s="224" t="s">
        <v>883</v>
      </c>
      <c r="T11" s="225">
        <v>123387</v>
      </c>
      <c r="U11" s="44" t="s">
        <v>884</v>
      </c>
      <c r="V11" s="67"/>
      <c r="W11" s="224" t="s">
        <v>885</v>
      </c>
      <c r="X11" s="223">
        <v>825</v>
      </c>
      <c r="Y11" s="224" t="s">
        <v>886</v>
      </c>
      <c r="Z11" s="225">
        <f>SUM(T11+V11+X11)</f>
        <v>124212</v>
      </c>
      <c r="AA11" s="224" t="s">
        <v>887</v>
      </c>
      <c r="AB11" s="223">
        <f>SUM(R11-Z11)</f>
        <v>1233043</v>
      </c>
      <c r="AC11" s="226" t="s">
        <v>888</v>
      </c>
      <c r="AD11" s="227"/>
      <c r="AF11" s="75"/>
    </row>
    <row r="12" spans="1:32" s="18" customFormat="1" ht="42" customHeight="1" x14ac:dyDescent="0.2">
      <c r="A12" s="28" t="s">
        <v>889</v>
      </c>
      <c r="B12" s="38" t="s">
        <v>1279</v>
      </c>
      <c r="C12" s="228" t="s">
        <v>890</v>
      </c>
      <c r="D12" s="76"/>
      <c r="E12" s="43" t="s">
        <v>891</v>
      </c>
      <c r="F12" s="76"/>
      <c r="G12" s="229" t="s">
        <v>892</v>
      </c>
      <c r="H12" s="56"/>
      <c r="I12" s="229" t="s">
        <v>893</v>
      </c>
      <c r="J12" s="56"/>
      <c r="K12" s="43" t="s">
        <v>894</v>
      </c>
      <c r="L12" s="56"/>
      <c r="M12" s="43" t="s">
        <v>895</v>
      </c>
      <c r="N12" s="56"/>
      <c r="O12" s="229" t="s">
        <v>896</v>
      </c>
      <c r="P12" s="56"/>
      <c r="Q12" s="229" t="s">
        <v>897</v>
      </c>
      <c r="R12" s="73">
        <f t="shared" ref="R12:R13" si="0">SUM(D12+F12+H12+J12+L12+N12+P12)</f>
        <v>0</v>
      </c>
      <c r="S12" s="229" t="s">
        <v>898</v>
      </c>
      <c r="T12" s="56"/>
      <c r="U12" s="43" t="s">
        <v>899</v>
      </c>
      <c r="V12" s="56"/>
      <c r="W12" s="229" t="s">
        <v>900</v>
      </c>
      <c r="X12" s="56"/>
      <c r="Y12" s="229" t="s">
        <v>901</v>
      </c>
      <c r="Z12" s="69">
        <f t="shared" ref="Z12:Z13" si="1">SUM(T12+V12+X12)</f>
        <v>0</v>
      </c>
      <c r="AA12" s="229" t="s">
        <v>147</v>
      </c>
      <c r="AB12" s="73">
        <f t="shared" ref="AB12:AB28" si="2">SUM(R12-Z12)</f>
        <v>0</v>
      </c>
      <c r="AC12" s="230" t="s">
        <v>902</v>
      </c>
      <c r="AD12" s="231"/>
    </row>
    <row r="13" spans="1:32" s="18" customFormat="1" ht="42" customHeight="1" x14ac:dyDescent="0.2">
      <c r="A13" s="28" t="s">
        <v>903</v>
      </c>
      <c r="B13" s="38" t="s">
        <v>1280</v>
      </c>
      <c r="C13" s="228" t="s">
        <v>904</v>
      </c>
      <c r="D13" s="76"/>
      <c r="E13" s="43" t="s">
        <v>905</v>
      </c>
      <c r="F13" s="76"/>
      <c r="G13" s="229" t="s">
        <v>906</v>
      </c>
      <c r="H13" s="56"/>
      <c r="I13" s="229" t="s">
        <v>907</v>
      </c>
      <c r="J13" s="56"/>
      <c r="K13" s="43" t="s">
        <v>908</v>
      </c>
      <c r="L13" s="56"/>
      <c r="M13" s="43" t="s">
        <v>909</v>
      </c>
      <c r="N13" s="56"/>
      <c r="O13" s="229" t="s">
        <v>910</v>
      </c>
      <c r="P13" s="56"/>
      <c r="Q13" s="229" t="s">
        <v>911</v>
      </c>
      <c r="R13" s="73">
        <f t="shared" si="0"/>
        <v>0</v>
      </c>
      <c r="S13" s="229" t="s">
        <v>912</v>
      </c>
      <c r="T13" s="56"/>
      <c r="U13" s="43" t="s">
        <v>913</v>
      </c>
      <c r="V13" s="56"/>
      <c r="W13" s="229" t="s">
        <v>914</v>
      </c>
      <c r="X13" s="56"/>
      <c r="Y13" s="229" t="s">
        <v>915</v>
      </c>
      <c r="Z13" s="69">
        <f t="shared" si="1"/>
        <v>0</v>
      </c>
      <c r="AA13" s="229" t="s">
        <v>147</v>
      </c>
      <c r="AB13" s="73">
        <f t="shared" si="2"/>
        <v>0</v>
      </c>
      <c r="AC13" s="230" t="s">
        <v>916</v>
      </c>
      <c r="AD13" s="231"/>
    </row>
    <row r="14" spans="1:32" s="18" customFormat="1" ht="42" customHeight="1" x14ac:dyDescent="0.2">
      <c r="A14" s="28" t="s">
        <v>917</v>
      </c>
      <c r="B14" s="232" t="s">
        <v>1281</v>
      </c>
      <c r="C14" s="228" t="s">
        <v>918</v>
      </c>
      <c r="D14" s="73">
        <f>SUM(D11+D12-D13)</f>
        <v>764802</v>
      </c>
      <c r="E14" s="43" t="s">
        <v>919</v>
      </c>
      <c r="F14" s="73">
        <f>SUM(F11+F12-F13)</f>
        <v>3444</v>
      </c>
      <c r="G14" s="229" t="s">
        <v>920</v>
      </c>
      <c r="H14" s="73">
        <f>SUM(H11+H12-H13)</f>
        <v>0</v>
      </c>
      <c r="I14" s="229" t="s">
        <v>921</v>
      </c>
      <c r="J14" s="73">
        <f>SUM(J11+J12-J13)</f>
        <v>57996</v>
      </c>
      <c r="K14" s="43" t="s">
        <v>922</v>
      </c>
      <c r="L14" s="73">
        <f>SUM(L11+L12-L13)</f>
        <v>153760</v>
      </c>
      <c r="M14" s="43" t="s">
        <v>923</v>
      </c>
      <c r="N14" s="73">
        <f>SUM(N11+N12-N13)</f>
        <v>13790</v>
      </c>
      <c r="O14" s="229" t="s">
        <v>924</v>
      </c>
      <c r="P14" s="73">
        <f>SUM(P11+P12-P13)</f>
        <v>363463</v>
      </c>
      <c r="Q14" s="229" t="s">
        <v>925</v>
      </c>
      <c r="R14" s="73">
        <f>SUM(R11+R12-R13)</f>
        <v>1357255</v>
      </c>
      <c r="S14" s="229" t="s">
        <v>926</v>
      </c>
      <c r="T14" s="73">
        <f>SUM(T11+T12-T13)</f>
        <v>123387</v>
      </c>
      <c r="U14" s="43" t="s">
        <v>927</v>
      </c>
      <c r="V14" s="73">
        <f>SUM(V11+V12-V13)</f>
        <v>0</v>
      </c>
      <c r="W14" s="229" t="s">
        <v>928</v>
      </c>
      <c r="X14" s="73">
        <f>SUM(X11+X12-X13)</f>
        <v>825</v>
      </c>
      <c r="Y14" s="229" t="s">
        <v>929</v>
      </c>
      <c r="Z14" s="73">
        <f>SUM(Z11+Z12-Z13)</f>
        <v>124212</v>
      </c>
      <c r="AA14" s="229" t="s">
        <v>930</v>
      </c>
      <c r="AB14" s="73">
        <f t="shared" si="2"/>
        <v>1233043</v>
      </c>
      <c r="AC14" s="230" t="s">
        <v>931</v>
      </c>
      <c r="AD14" s="231"/>
    </row>
    <row r="15" spans="1:32" s="18" customFormat="1" ht="42" customHeight="1" x14ac:dyDescent="0.2">
      <c r="A15" s="28" t="s">
        <v>932</v>
      </c>
      <c r="B15" s="38" t="s">
        <v>1282</v>
      </c>
      <c r="C15" s="228" t="s">
        <v>933</v>
      </c>
      <c r="D15" s="76"/>
      <c r="E15" s="43" t="s">
        <v>147</v>
      </c>
      <c r="F15" s="181"/>
      <c r="G15" s="229" t="s">
        <v>934</v>
      </c>
      <c r="H15" s="56"/>
      <c r="I15" s="229" t="s">
        <v>935</v>
      </c>
      <c r="J15" s="56"/>
      <c r="K15" s="43" t="s">
        <v>147</v>
      </c>
      <c r="L15" s="69"/>
      <c r="M15" s="43" t="s">
        <v>147</v>
      </c>
      <c r="N15" s="56"/>
      <c r="O15" s="229" t="s">
        <v>147</v>
      </c>
      <c r="P15" s="56"/>
      <c r="Q15" s="229" t="s">
        <v>936</v>
      </c>
      <c r="R15" s="73">
        <f t="shared" ref="R15:R28" si="3">SUM(D15+F15+H15+J15+L15+N15+P15)</f>
        <v>0</v>
      </c>
      <c r="S15" s="229" t="s">
        <v>147</v>
      </c>
      <c r="T15" s="233"/>
      <c r="U15" s="43" t="s">
        <v>147</v>
      </c>
      <c r="V15" s="233"/>
      <c r="W15" s="229" t="s">
        <v>147</v>
      </c>
      <c r="X15" s="56"/>
      <c r="Y15" s="229" t="s">
        <v>147</v>
      </c>
      <c r="Z15" s="69">
        <f t="shared" ref="Z15:Z28" si="4">SUM(T15+V15+X15)</f>
        <v>0</v>
      </c>
      <c r="AA15" s="229" t="s">
        <v>147</v>
      </c>
      <c r="AB15" s="73">
        <f t="shared" si="2"/>
        <v>0</v>
      </c>
      <c r="AC15" s="230" t="s">
        <v>147</v>
      </c>
      <c r="AD15" s="231" t="s">
        <v>147</v>
      </c>
    </row>
    <row r="16" spans="1:32" s="18" customFormat="1" ht="42" customHeight="1" x14ac:dyDescent="0.2">
      <c r="A16" s="28" t="s">
        <v>937</v>
      </c>
      <c r="B16" s="38" t="s">
        <v>141</v>
      </c>
      <c r="C16" s="228" t="s">
        <v>147</v>
      </c>
      <c r="D16" s="234"/>
      <c r="E16" s="43" t="s">
        <v>147</v>
      </c>
      <c r="F16" s="181"/>
      <c r="G16" s="229" t="s">
        <v>147</v>
      </c>
      <c r="H16" s="56"/>
      <c r="I16" s="229" t="s">
        <v>147</v>
      </c>
      <c r="J16" s="56"/>
      <c r="K16" s="43" t="s">
        <v>147</v>
      </c>
      <c r="L16" s="69"/>
      <c r="M16" s="43" t="s">
        <v>938</v>
      </c>
      <c r="N16" s="93">
        <f>26456+11727</f>
        <v>38183</v>
      </c>
      <c r="O16" s="229" t="s">
        <v>147</v>
      </c>
      <c r="P16" s="56"/>
      <c r="Q16" s="229" t="s">
        <v>939</v>
      </c>
      <c r="R16" s="73">
        <f t="shared" si="3"/>
        <v>38183</v>
      </c>
      <c r="S16" s="229" t="s">
        <v>147</v>
      </c>
      <c r="T16" s="233"/>
      <c r="U16" s="43" t="s">
        <v>147</v>
      </c>
      <c r="V16" s="233"/>
      <c r="W16" s="229" t="s">
        <v>147</v>
      </c>
      <c r="X16" s="73"/>
      <c r="Y16" s="229" t="s">
        <v>147</v>
      </c>
      <c r="Z16" s="69">
        <f t="shared" si="4"/>
        <v>0</v>
      </c>
      <c r="AA16" s="229" t="s">
        <v>147</v>
      </c>
      <c r="AB16" s="181" t="s">
        <v>147</v>
      </c>
      <c r="AC16" s="230" t="s">
        <v>147</v>
      </c>
      <c r="AD16" s="231" t="s">
        <v>147</v>
      </c>
    </row>
    <row r="17" spans="1:34" s="18" customFormat="1" ht="42" customHeight="1" x14ac:dyDescent="0.2">
      <c r="A17" s="28" t="s">
        <v>940</v>
      </c>
      <c r="B17" s="38" t="s">
        <v>1283</v>
      </c>
      <c r="C17" s="228" t="s">
        <v>147</v>
      </c>
      <c r="D17" s="76"/>
      <c r="E17" s="43" t="s">
        <v>147</v>
      </c>
      <c r="F17" s="181"/>
      <c r="G17" s="229" t="s">
        <v>147</v>
      </c>
      <c r="H17" s="56"/>
      <c r="I17" s="229" t="s">
        <v>147</v>
      </c>
      <c r="J17" s="56"/>
      <c r="K17" s="43" t="s">
        <v>147</v>
      </c>
      <c r="L17" s="56"/>
      <c r="M17" s="43" t="s">
        <v>941</v>
      </c>
      <c r="N17" s="73">
        <f>12483+308</f>
        <v>12791</v>
      </c>
      <c r="O17" s="229" t="s">
        <v>147</v>
      </c>
      <c r="P17" s="56"/>
      <c r="Q17" s="229" t="s">
        <v>942</v>
      </c>
      <c r="R17" s="73">
        <f t="shared" si="3"/>
        <v>12791</v>
      </c>
      <c r="S17" s="229" t="s">
        <v>147</v>
      </c>
      <c r="T17" s="56"/>
      <c r="U17" s="56" t="s">
        <v>147</v>
      </c>
      <c r="V17" s="56"/>
      <c r="W17" s="235" t="s">
        <v>147</v>
      </c>
      <c r="X17" s="73"/>
      <c r="Y17" s="229" t="s">
        <v>147</v>
      </c>
      <c r="Z17" s="69">
        <f t="shared" si="4"/>
        <v>0</v>
      </c>
      <c r="AA17" s="229" t="s">
        <v>147</v>
      </c>
      <c r="AB17" s="181" t="s">
        <v>147</v>
      </c>
      <c r="AC17" s="230" t="s">
        <v>147</v>
      </c>
      <c r="AD17" s="231" t="s">
        <v>147</v>
      </c>
    </row>
    <row r="18" spans="1:34" s="18" customFormat="1" ht="42" customHeight="1" x14ac:dyDescent="0.2">
      <c r="A18" s="28" t="s">
        <v>943</v>
      </c>
      <c r="B18" s="38" t="s">
        <v>1284</v>
      </c>
      <c r="C18" s="228" t="s">
        <v>147</v>
      </c>
      <c r="D18" s="76"/>
      <c r="E18" s="43" t="s">
        <v>147</v>
      </c>
      <c r="F18" s="181"/>
      <c r="G18" s="229" t="s">
        <v>147</v>
      </c>
      <c r="H18" s="56"/>
      <c r="I18" s="229" t="s">
        <v>147</v>
      </c>
      <c r="J18" s="56"/>
      <c r="K18" s="43" t="s">
        <v>147</v>
      </c>
      <c r="L18" s="56"/>
      <c r="M18" s="43" t="s">
        <v>147</v>
      </c>
      <c r="N18" s="56"/>
      <c r="O18" s="229" t="s">
        <v>147</v>
      </c>
      <c r="P18" s="56"/>
      <c r="Q18" s="229" t="s">
        <v>147</v>
      </c>
      <c r="R18" s="73">
        <f t="shared" si="3"/>
        <v>0</v>
      </c>
      <c r="S18" s="229" t="s">
        <v>147</v>
      </c>
      <c r="T18" s="56"/>
      <c r="U18" s="56" t="s">
        <v>147</v>
      </c>
      <c r="V18" s="56"/>
      <c r="W18" s="235" t="s">
        <v>944</v>
      </c>
      <c r="X18" s="56"/>
      <c r="Y18" s="229" t="s">
        <v>945</v>
      </c>
      <c r="Z18" s="69">
        <f t="shared" si="4"/>
        <v>0</v>
      </c>
      <c r="AA18" s="229" t="s">
        <v>147</v>
      </c>
      <c r="AB18" s="73">
        <f t="shared" si="2"/>
        <v>0</v>
      </c>
      <c r="AC18" s="230" t="s">
        <v>147</v>
      </c>
      <c r="AD18" s="231" t="s">
        <v>147</v>
      </c>
    </row>
    <row r="19" spans="1:34" s="18" customFormat="1" ht="42" customHeight="1" x14ac:dyDescent="0.2">
      <c r="A19" s="28" t="s">
        <v>946</v>
      </c>
      <c r="B19" s="38" t="s">
        <v>1285</v>
      </c>
      <c r="C19" s="228" t="s">
        <v>947</v>
      </c>
      <c r="D19" s="76"/>
      <c r="E19" s="43" t="s">
        <v>948</v>
      </c>
      <c r="F19" s="76"/>
      <c r="G19" s="229" t="s">
        <v>147</v>
      </c>
      <c r="H19" s="56"/>
      <c r="I19" s="229" t="s">
        <v>147</v>
      </c>
      <c r="J19" s="56"/>
      <c r="K19" s="43" t="s">
        <v>949</v>
      </c>
      <c r="L19" s="56"/>
      <c r="M19" s="43" t="s">
        <v>147</v>
      </c>
      <c r="N19" s="56"/>
      <c r="O19" s="229" t="s">
        <v>950</v>
      </c>
      <c r="P19" s="56"/>
      <c r="Q19" s="229" t="s">
        <v>951</v>
      </c>
      <c r="R19" s="73">
        <f t="shared" si="3"/>
        <v>0</v>
      </c>
      <c r="S19" s="229" t="s">
        <v>147</v>
      </c>
      <c r="T19" s="56"/>
      <c r="U19" s="56" t="s">
        <v>147</v>
      </c>
      <c r="V19" s="56"/>
      <c r="W19" s="235" t="s">
        <v>147</v>
      </c>
      <c r="X19" s="56"/>
      <c r="Y19" s="229" t="s">
        <v>147</v>
      </c>
      <c r="Z19" s="69">
        <f t="shared" si="4"/>
        <v>0</v>
      </c>
      <c r="AA19" s="229" t="s">
        <v>147</v>
      </c>
      <c r="AB19" s="73">
        <f t="shared" si="2"/>
        <v>0</v>
      </c>
      <c r="AC19" s="230" t="s">
        <v>147</v>
      </c>
      <c r="AD19" s="231" t="s">
        <v>147</v>
      </c>
    </row>
    <row r="20" spans="1:34" s="18" customFormat="1" ht="42" customHeight="1" x14ac:dyDescent="0.2">
      <c r="A20" s="28" t="s">
        <v>952</v>
      </c>
      <c r="B20" s="38" t="s">
        <v>1286</v>
      </c>
      <c r="C20" s="228" t="s">
        <v>147</v>
      </c>
      <c r="D20" s="76"/>
      <c r="E20" s="43" t="s">
        <v>147</v>
      </c>
      <c r="F20" s="181"/>
      <c r="G20" s="229" t="s">
        <v>147</v>
      </c>
      <c r="H20" s="56"/>
      <c r="I20" s="229" t="s">
        <v>147</v>
      </c>
      <c r="J20" s="56"/>
      <c r="K20" s="43" t="s">
        <v>147</v>
      </c>
      <c r="L20" s="56"/>
      <c r="M20" s="43" t="s">
        <v>147</v>
      </c>
      <c r="N20" s="56"/>
      <c r="O20" s="229" t="s">
        <v>147</v>
      </c>
      <c r="P20" s="56"/>
      <c r="Q20" s="229" t="s">
        <v>147</v>
      </c>
      <c r="R20" s="73">
        <f t="shared" si="3"/>
        <v>0</v>
      </c>
      <c r="S20" s="229" t="s">
        <v>953</v>
      </c>
      <c r="T20" s="73">
        <v>75057</v>
      </c>
      <c r="U20" s="56" t="s">
        <v>147</v>
      </c>
      <c r="V20" s="56"/>
      <c r="W20" s="235" t="s">
        <v>147</v>
      </c>
      <c r="X20" s="56"/>
      <c r="Y20" s="229" t="s">
        <v>954</v>
      </c>
      <c r="Z20" s="69">
        <f t="shared" si="4"/>
        <v>75057</v>
      </c>
      <c r="AA20" s="229" t="s">
        <v>147</v>
      </c>
      <c r="AB20" s="181" t="s">
        <v>147</v>
      </c>
      <c r="AC20" s="230" t="s">
        <v>955</v>
      </c>
      <c r="AD20" s="231"/>
    </row>
    <row r="21" spans="1:34" s="18" customFormat="1" ht="42" customHeight="1" x14ac:dyDescent="0.2">
      <c r="A21" s="28" t="s">
        <v>956</v>
      </c>
      <c r="B21" s="38" t="s">
        <v>1287</v>
      </c>
      <c r="C21" s="228" t="s">
        <v>147</v>
      </c>
      <c r="D21" s="76"/>
      <c r="E21" s="43" t="s">
        <v>147</v>
      </c>
      <c r="F21" s="181"/>
      <c r="G21" s="229" t="s">
        <v>147</v>
      </c>
      <c r="H21" s="56"/>
      <c r="I21" s="229" t="s">
        <v>147</v>
      </c>
      <c r="J21" s="56"/>
      <c r="K21" s="43" t="s">
        <v>147</v>
      </c>
      <c r="L21" s="56"/>
      <c r="M21" s="43" t="s">
        <v>147</v>
      </c>
      <c r="N21" s="56"/>
      <c r="O21" s="229" t="s">
        <v>147</v>
      </c>
      <c r="P21" s="56"/>
      <c r="Q21" s="229" t="s">
        <v>147</v>
      </c>
      <c r="R21" s="73">
        <f t="shared" si="3"/>
        <v>0</v>
      </c>
      <c r="S21" s="229" t="s">
        <v>147</v>
      </c>
      <c r="T21" s="56"/>
      <c r="U21" s="56" t="s">
        <v>957</v>
      </c>
      <c r="V21" s="56"/>
      <c r="W21" s="235" t="s">
        <v>147</v>
      </c>
      <c r="X21" s="56"/>
      <c r="Y21" s="229" t="s">
        <v>958</v>
      </c>
      <c r="Z21" s="69">
        <f t="shared" si="4"/>
        <v>0</v>
      </c>
      <c r="AA21" s="229" t="s">
        <v>147</v>
      </c>
      <c r="AB21" s="73">
        <f t="shared" si="2"/>
        <v>0</v>
      </c>
      <c r="AC21" s="230" t="s">
        <v>147</v>
      </c>
      <c r="AD21" s="231" t="s">
        <v>147</v>
      </c>
    </row>
    <row r="22" spans="1:34" s="18" customFormat="1" ht="42" customHeight="1" x14ac:dyDescent="0.2">
      <c r="A22" s="28" t="s">
        <v>959</v>
      </c>
      <c r="B22" s="38" t="s">
        <v>1288</v>
      </c>
      <c r="C22" s="228" t="s">
        <v>147</v>
      </c>
      <c r="D22" s="76"/>
      <c r="E22" s="43" t="s">
        <v>147</v>
      </c>
      <c r="F22" s="181"/>
      <c r="G22" s="229" t="s">
        <v>147</v>
      </c>
      <c r="H22" s="56"/>
      <c r="I22" s="229" t="s">
        <v>147</v>
      </c>
      <c r="J22" s="56"/>
      <c r="K22" s="43" t="s">
        <v>147</v>
      </c>
      <c r="L22" s="56"/>
      <c r="M22" s="43" t="s">
        <v>147</v>
      </c>
      <c r="N22" s="56"/>
      <c r="O22" s="229" t="s">
        <v>147</v>
      </c>
      <c r="P22" s="56"/>
      <c r="Q22" s="229" t="s">
        <v>147</v>
      </c>
      <c r="R22" s="73">
        <f t="shared" si="3"/>
        <v>0</v>
      </c>
      <c r="S22" s="229" t="s">
        <v>147</v>
      </c>
      <c r="T22" s="56"/>
      <c r="U22" s="56" t="s">
        <v>960</v>
      </c>
      <c r="V22" s="56"/>
      <c r="W22" s="235" t="s">
        <v>147</v>
      </c>
      <c r="X22" s="56"/>
      <c r="Y22" s="229" t="s">
        <v>961</v>
      </c>
      <c r="Z22" s="69">
        <f t="shared" si="4"/>
        <v>0</v>
      </c>
      <c r="AA22" s="229" t="s">
        <v>147</v>
      </c>
      <c r="AB22" s="73">
        <f t="shared" si="2"/>
        <v>0</v>
      </c>
      <c r="AC22" s="230" t="s">
        <v>147</v>
      </c>
      <c r="AD22" s="231" t="s">
        <v>147</v>
      </c>
    </row>
    <row r="23" spans="1:34" s="18" customFormat="1" ht="42" customHeight="1" x14ac:dyDescent="0.2">
      <c r="A23" s="28" t="s">
        <v>962</v>
      </c>
      <c r="B23" s="38" t="s">
        <v>1289</v>
      </c>
      <c r="C23" s="228" t="s">
        <v>963</v>
      </c>
      <c r="D23" s="76"/>
      <c r="E23" s="43" t="s">
        <v>964</v>
      </c>
      <c r="F23" s="76"/>
      <c r="G23" s="229" t="s">
        <v>965</v>
      </c>
      <c r="H23" s="56"/>
      <c r="I23" s="229" t="s">
        <v>966</v>
      </c>
      <c r="J23" s="56"/>
      <c r="K23" s="43" t="s">
        <v>967</v>
      </c>
      <c r="L23" s="56"/>
      <c r="M23" s="43" t="s">
        <v>968</v>
      </c>
      <c r="N23" s="56"/>
      <c r="O23" s="229" t="s">
        <v>969</v>
      </c>
      <c r="P23" s="56"/>
      <c r="Q23" s="229" t="s">
        <v>970</v>
      </c>
      <c r="R23" s="73">
        <f t="shared" si="3"/>
        <v>0</v>
      </c>
      <c r="S23" s="229" t="s">
        <v>971</v>
      </c>
      <c r="T23" s="56"/>
      <c r="U23" s="56" t="s">
        <v>972</v>
      </c>
      <c r="V23" s="56"/>
      <c r="W23" s="235" t="s">
        <v>973</v>
      </c>
      <c r="X23" s="56"/>
      <c r="Y23" s="229" t="s">
        <v>974</v>
      </c>
      <c r="Z23" s="69">
        <f t="shared" si="4"/>
        <v>0</v>
      </c>
      <c r="AA23" s="229" t="s">
        <v>147</v>
      </c>
      <c r="AB23" s="73">
        <f t="shared" si="2"/>
        <v>0</v>
      </c>
      <c r="AC23" s="230" t="s">
        <v>975</v>
      </c>
      <c r="AD23" s="231"/>
    </row>
    <row r="24" spans="1:34" s="18" customFormat="1" ht="42" customHeight="1" x14ac:dyDescent="0.2">
      <c r="A24" s="28" t="s">
        <v>976</v>
      </c>
      <c r="B24" s="38" t="s">
        <v>1290</v>
      </c>
      <c r="C24" s="228" t="s">
        <v>977</v>
      </c>
      <c r="D24" s="76"/>
      <c r="E24" s="43" t="s">
        <v>978</v>
      </c>
      <c r="F24" s="76"/>
      <c r="G24" s="229" t="s">
        <v>979</v>
      </c>
      <c r="H24" s="56"/>
      <c r="I24" s="229" t="s">
        <v>980</v>
      </c>
      <c r="J24" s="56"/>
      <c r="K24" s="43" t="s">
        <v>981</v>
      </c>
      <c r="L24" s="56"/>
      <c r="M24" s="43" t="s">
        <v>982</v>
      </c>
      <c r="N24" s="56"/>
      <c r="O24" s="229" t="s">
        <v>983</v>
      </c>
      <c r="P24" s="73">
        <v>123387</v>
      </c>
      <c r="Q24" s="229" t="s">
        <v>984</v>
      </c>
      <c r="R24" s="73">
        <f t="shared" si="3"/>
        <v>123387</v>
      </c>
      <c r="S24" s="229" t="s">
        <v>985</v>
      </c>
      <c r="T24" s="73">
        <v>123387</v>
      </c>
      <c r="U24" s="56" t="s">
        <v>986</v>
      </c>
      <c r="V24" s="73"/>
      <c r="W24" s="235" t="s">
        <v>987</v>
      </c>
      <c r="X24" s="56"/>
      <c r="Y24" s="229" t="s">
        <v>988</v>
      </c>
      <c r="Z24" s="69">
        <f t="shared" si="4"/>
        <v>123387</v>
      </c>
      <c r="AA24" s="229" t="s">
        <v>147</v>
      </c>
      <c r="AB24" s="181" t="s">
        <v>147</v>
      </c>
      <c r="AC24" s="230" t="s">
        <v>989</v>
      </c>
      <c r="AD24" s="231"/>
    </row>
    <row r="25" spans="1:34" s="18" customFormat="1" ht="42" customHeight="1" x14ac:dyDescent="0.2">
      <c r="A25" s="28" t="s">
        <v>990</v>
      </c>
      <c r="B25" s="38" t="s">
        <v>1291</v>
      </c>
      <c r="C25" s="228" t="s">
        <v>147</v>
      </c>
      <c r="D25" s="76"/>
      <c r="E25" s="43" t="s">
        <v>147</v>
      </c>
      <c r="F25" s="181"/>
      <c r="G25" s="229" t="s">
        <v>147</v>
      </c>
      <c r="H25" s="56"/>
      <c r="I25" s="229" t="s">
        <v>147</v>
      </c>
      <c r="J25" s="56"/>
      <c r="K25" s="43" t="s">
        <v>147</v>
      </c>
      <c r="L25" s="56"/>
      <c r="M25" s="43" t="s">
        <v>147</v>
      </c>
      <c r="N25" s="56"/>
      <c r="O25" s="229" t="s">
        <v>991</v>
      </c>
      <c r="P25" s="56"/>
      <c r="Q25" s="229" t="s">
        <v>992</v>
      </c>
      <c r="R25" s="73">
        <f t="shared" si="3"/>
        <v>0</v>
      </c>
      <c r="S25" s="229" t="s">
        <v>147</v>
      </c>
      <c r="T25" s="56"/>
      <c r="U25" s="56" t="s">
        <v>147</v>
      </c>
      <c r="V25" s="56"/>
      <c r="W25" s="235" t="s">
        <v>147</v>
      </c>
      <c r="X25" s="56"/>
      <c r="Y25" s="229" t="s">
        <v>147</v>
      </c>
      <c r="Z25" s="69">
        <f t="shared" si="4"/>
        <v>0</v>
      </c>
      <c r="AA25" s="229" t="s">
        <v>147</v>
      </c>
      <c r="AB25" s="73">
        <f t="shared" si="2"/>
        <v>0</v>
      </c>
      <c r="AC25" s="230" t="s">
        <v>147</v>
      </c>
      <c r="AD25" s="231" t="s">
        <v>147</v>
      </c>
    </row>
    <row r="26" spans="1:34" s="18" customFormat="1" ht="42" customHeight="1" x14ac:dyDescent="0.2">
      <c r="A26" s="28" t="s">
        <v>993</v>
      </c>
      <c r="B26" s="38" t="s">
        <v>1292</v>
      </c>
      <c r="C26" s="228" t="s">
        <v>147</v>
      </c>
      <c r="D26" s="76"/>
      <c r="E26" s="43" t="s">
        <v>147</v>
      </c>
      <c r="F26" s="181"/>
      <c r="G26" s="229" t="s">
        <v>147</v>
      </c>
      <c r="H26" s="56"/>
      <c r="I26" s="229" t="s">
        <v>147</v>
      </c>
      <c r="J26" s="56"/>
      <c r="K26" s="43" t="s">
        <v>147</v>
      </c>
      <c r="L26" s="56"/>
      <c r="M26" s="43" t="s">
        <v>147</v>
      </c>
      <c r="N26" s="56"/>
      <c r="O26" s="229" t="s">
        <v>994</v>
      </c>
      <c r="P26" s="56"/>
      <c r="Q26" s="229" t="s">
        <v>995</v>
      </c>
      <c r="R26" s="73">
        <f t="shared" si="3"/>
        <v>0</v>
      </c>
      <c r="S26" s="229" t="s">
        <v>147</v>
      </c>
      <c r="T26" s="56"/>
      <c r="U26" s="56" t="s">
        <v>147</v>
      </c>
      <c r="V26" s="56"/>
      <c r="W26" s="235" t="s">
        <v>147</v>
      </c>
      <c r="X26" s="56"/>
      <c r="Y26" s="229" t="s">
        <v>147</v>
      </c>
      <c r="Z26" s="69">
        <f t="shared" si="4"/>
        <v>0</v>
      </c>
      <c r="AA26" s="229" t="s">
        <v>147</v>
      </c>
      <c r="AB26" s="73">
        <f t="shared" si="2"/>
        <v>0</v>
      </c>
      <c r="AC26" s="230" t="s">
        <v>147</v>
      </c>
      <c r="AD26" s="231" t="s">
        <v>147</v>
      </c>
    </row>
    <row r="27" spans="1:34" s="18" customFormat="1" ht="42" customHeight="1" x14ac:dyDescent="0.2">
      <c r="A27" s="28" t="s">
        <v>996</v>
      </c>
      <c r="B27" s="38" t="s">
        <v>1293</v>
      </c>
      <c r="C27" s="228" t="s">
        <v>997</v>
      </c>
      <c r="D27" s="76"/>
      <c r="E27" s="43" t="s">
        <v>998</v>
      </c>
      <c r="F27" s="76"/>
      <c r="G27" s="229" t="s">
        <v>999</v>
      </c>
      <c r="H27" s="56"/>
      <c r="I27" s="229" t="s">
        <v>1000</v>
      </c>
      <c r="J27" s="56"/>
      <c r="K27" s="43" t="s">
        <v>1001</v>
      </c>
      <c r="L27" s="56"/>
      <c r="M27" s="43" t="s">
        <v>1002</v>
      </c>
      <c r="N27" s="236"/>
      <c r="O27" s="229" t="s">
        <v>1003</v>
      </c>
      <c r="P27" s="56"/>
      <c r="Q27" s="229" t="s">
        <v>1004</v>
      </c>
      <c r="R27" s="73">
        <f t="shared" si="3"/>
        <v>0</v>
      </c>
      <c r="S27" s="229" t="s">
        <v>1005</v>
      </c>
      <c r="T27" s="56"/>
      <c r="U27" s="56" t="s">
        <v>1006</v>
      </c>
      <c r="V27" s="56"/>
      <c r="W27" s="235" t="s">
        <v>1007</v>
      </c>
      <c r="X27" s="69">
        <v>571</v>
      </c>
      <c r="Y27" s="229" t="s">
        <v>1008</v>
      </c>
      <c r="Z27" s="69">
        <f t="shared" si="4"/>
        <v>571</v>
      </c>
      <c r="AA27" s="229" t="s">
        <v>147</v>
      </c>
      <c r="AB27" s="73">
        <f t="shared" si="2"/>
        <v>-571</v>
      </c>
      <c r="AC27" s="230" t="s">
        <v>1009</v>
      </c>
      <c r="AD27" s="231"/>
    </row>
    <row r="28" spans="1:34" s="18" customFormat="1" ht="42" customHeight="1" x14ac:dyDescent="0.2">
      <c r="A28" s="28" t="s">
        <v>1010</v>
      </c>
      <c r="B28" s="38" t="s">
        <v>1294</v>
      </c>
      <c r="C28" s="228" t="s">
        <v>1011</v>
      </c>
      <c r="D28" s="76"/>
      <c r="E28" s="43" t="s">
        <v>1012</v>
      </c>
      <c r="F28" s="76"/>
      <c r="G28" s="229" t="s">
        <v>1013</v>
      </c>
      <c r="H28" s="56"/>
      <c r="I28" s="229" t="s">
        <v>1014</v>
      </c>
      <c r="J28" s="56"/>
      <c r="K28" s="43" t="s">
        <v>1015</v>
      </c>
      <c r="L28" s="56"/>
      <c r="M28" s="43" t="s">
        <v>1016</v>
      </c>
      <c r="N28" s="73"/>
      <c r="O28" s="229" t="s">
        <v>1017</v>
      </c>
      <c r="P28" s="56"/>
      <c r="Q28" s="229" t="s">
        <v>1018</v>
      </c>
      <c r="R28" s="73">
        <f t="shared" si="3"/>
        <v>0</v>
      </c>
      <c r="S28" s="229" t="s">
        <v>1019</v>
      </c>
      <c r="T28" s="56"/>
      <c r="U28" s="56" t="s">
        <v>1020</v>
      </c>
      <c r="V28" s="56"/>
      <c r="W28" s="235" t="s">
        <v>1021</v>
      </c>
      <c r="X28" s="69">
        <v>825</v>
      </c>
      <c r="Y28" s="229" t="s">
        <v>1022</v>
      </c>
      <c r="Z28" s="69">
        <f t="shared" si="4"/>
        <v>825</v>
      </c>
      <c r="AA28" s="229" t="s">
        <v>147</v>
      </c>
      <c r="AB28" s="73">
        <f t="shared" si="2"/>
        <v>-825</v>
      </c>
      <c r="AC28" s="230" t="s">
        <v>1023</v>
      </c>
      <c r="AD28" s="231"/>
    </row>
    <row r="29" spans="1:34" s="18" customFormat="1" ht="42" customHeight="1" x14ac:dyDescent="0.2">
      <c r="A29" s="28" t="s">
        <v>1024</v>
      </c>
      <c r="B29" s="232" t="s">
        <v>1025</v>
      </c>
      <c r="C29" s="228" t="s">
        <v>1026</v>
      </c>
      <c r="D29" s="73">
        <f>SUM(D15+D16+D18+D19+D20+D21+D23+D27)</f>
        <v>0</v>
      </c>
      <c r="E29" s="43" t="s">
        <v>1027</v>
      </c>
      <c r="F29" s="73">
        <f>SUM(F15+F16+F18+F19+F20+F21+F23+F27)</f>
        <v>0</v>
      </c>
      <c r="G29" s="229" t="s">
        <v>1028</v>
      </c>
      <c r="H29" s="73">
        <f>SUM(H15+H16+H18+H19+H20+H21+H23+H27)</f>
        <v>0</v>
      </c>
      <c r="I29" s="229" t="s">
        <v>1029</v>
      </c>
      <c r="J29" s="73">
        <f>SUM(J15+J16+J18+J19+J20+J21+J23+J27)</f>
        <v>0</v>
      </c>
      <c r="K29" s="43" t="s">
        <v>1030</v>
      </c>
      <c r="L29" s="73">
        <f>SUM(L15+L16+L18+L19+L20+L21+L23+L27)</f>
        <v>0</v>
      </c>
      <c r="M29" s="43" t="s">
        <v>1031</v>
      </c>
      <c r="N29" s="73">
        <f>SUM(N15+N16+N18+N19+N20+N21+N23+N27)</f>
        <v>38183</v>
      </c>
      <c r="O29" s="229" t="s">
        <v>1032</v>
      </c>
      <c r="P29" s="73">
        <f>SUM(P15+P16+P18+P19+P20+P21+P23+P27)</f>
        <v>0</v>
      </c>
      <c r="Q29" s="229" t="s">
        <v>1033</v>
      </c>
      <c r="R29" s="73">
        <f>SUM(R15+R16+R18+R19+R20+R21+R23+R27)</f>
        <v>38183</v>
      </c>
      <c r="S29" s="229" t="s">
        <v>1034</v>
      </c>
      <c r="T29" s="73">
        <v>75057</v>
      </c>
      <c r="U29" s="56" t="s">
        <v>1035</v>
      </c>
      <c r="V29" s="73">
        <f>SUM(V15+V16+V18+V19+V20+V21+V23+V27)</f>
        <v>0</v>
      </c>
      <c r="W29" s="235" t="s">
        <v>1036</v>
      </c>
      <c r="X29" s="73">
        <f>SUM(X15+X16+X18+X19+X20+X21+X23+X27)</f>
        <v>571</v>
      </c>
      <c r="Y29" s="229" t="s">
        <v>1037</v>
      </c>
      <c r="Z29" s="73">
        <f>SUM(Z15+Z16+Z18+Z19+Z20+Z21+Z23+Z27)</f>
        <v>75628</v>
      </c>
      <c r="AA29" s="229" t="s">
        <v>147</v>
      </c>
      <c r="AB29" s="181" t="s">
        <v>147</v>
      </c>
      <c r="AC29" s="230" t="s">
        <v>1038</v>
      </c>
      <c r="AD29" s="231"/>
    </row>
    <row r="30" spans="1:34" s="18" customFormat="1" ht="42" customHeight="1" x14ac:dyDescent="0.2">
      <c r="A30" s="28" t="s">
        <v>1039</v>
      </c>
      <c r="B30" s="232" t="s">
        <v>1040</v>
      </c>
      <c r="C30" s="228" t="s">
        <v>1041</v>
      </c>
      <c r="D30" s="73">
        <f>SUM(D17+D22+D24+D25+D26+D28)</f>
        <v>0</v>
      </c>
      <c r="E30" s="43" t="s">
        <v>1042</v>
      </c>
      <c r="F30" s="73">
        <f>SUM(F17+F22+F24+F25+F26+F28)</f>
        <v>0</v>
      </c>
      <c r="G30" s="229" t="s">
        <v>1043</v>
      </c>
      <c r="H30" s="73">
        <f>SUM(H17+H22+H24+H25+H26+H28)</f>
        <v>0</v>
      </c>
      <c r="I30" s="229" t="s">
        <v>1044</v>
      </c>
      <c r="J30" s="73">
        <f>SUM(J17+J22+J24+J25+J26+J28)</f>
        <v>0</v>
      </c>
      <c r="K30" s="43" t="s">
        <v>1045</v>
      </c>
      <c r="L30" s="73">
        <f>SUM(L17+L22+L24+L25+L26+L28)</f>
        <v>0</v>
      </c>
      <c r="M30" s="43" t="s">
        <v>1046</v>
      </c>
      <c r="N30" s="73">
        <f>SUM(N17+N22+N24+N25+N26+N28)</f>
        <v>12791</v>
      </c>
      <c r="O30" s="229" t="s">
        <v>1047</v>
      </c>
      <c r="P30" s="73">
        <f>SUM(P17+P22+P24+P25+P26+P28)</f>
        <v>123387</v>
      </c>
      <c r="Q30" s="229" t="s">
        <v>1048</v>
      </c>
      <c r="R30" s="73">
        <f>SUM(R17+R22+R24+R25+R26+R28)</f>
        <v>136178</v>
      </c>
      <c r="S30" s="229" t="s">
        <v>1049</v>
      </c>
      <c r="T30" s="73">
        <v>123387</v>
      </c>
      <c r="U30" s="56" t="s">
        <v>1050</v>
      </c>
      <c r="V30" s="73">
        <f>SUM(V17+V22+V24+V25+V26+V28)</f>
        <v>0</v>
      </c>
      <c r="W30" s="235" t="s">
        <v>1051</v>
      </c>
      <c r="X30" s="73">
        <f>SUM(X17+X22+X24+X25+X26+X28)</f>
        <v>825</v>
      </c>
      <c r="Y30" s="229" t="s">
        <v>1052</v>
      </c>
      <c r="Z30" s="73">
        <f>SUM(Z17+Z22+Z24+Z25+Z26+Z28)</f>
        <v>124212</v>
      </c>
      <c r="AA30" s="229" t="s">
        <v>147</v>
      </c>
      <c r="AB30" s="181" t="s">
        <v>147</v>
      </c>
      <c r="AC30" s="230" t="s">
        <v>1053</v>
      </c>
      <c r="AD30" s="231"/>
    </row>
    <row r="31" spans="1:34" s="18" customFormat="1" ht="42" customHeight="1" x14ac:dyDescent="0.2">
      <c r="A31" s="28" t="s">
        <v>1054</v>
      </c>
      <c r="B31" s="221" t="s">
        <v>1055</v>
      </c>
      <c r="C31" s="222" t="s">
        <v>1056</v>
      </c>
      <c r="D31" s="71">
        <f>SUM(D14+D29-D30)</f>
        <v>764802</v>
      </c>
      <c r="E31" s="56" t="s">
        <v>1057</v>
      </c>
      <c r="F31" s="71">
        <f>SUM(F14+F29-F30)</f>
        <v>3444</v>
      </c>
      <c r="G31" s="229" t="s">
        <v>1058</v>
      </c>
      <c r="H31" s="73">
        <f>SUM(H14+H29-H30)</f>
        <v>0</v>
      </c>
      <c r="I31" s="229" t="s">
        <v>1059</v>
      </c>
      <c r="J31" s="71">
        <f>SUM(J14+J29-J30)</f>
        <v>57996</v>
      </c>
      <c r="K31" s="43" t="s">
        <v>1060</v>
      </c>
      <c r="L31" s="71">
        <f>SUM(L14+L29-L30)</f>
        <v>153760</v>
      </c>
      <c r="M31" s="43" t="s">
        <v>1061</v>
      </c>
      <c r="N31" s="71">
        <f>SUM(N14+N29-N30)</f>
        <v>39182</v>
      </c>
      <c r="O31" s="229" t="s">
        <v>1062</v>
      </c>
      <c r="P31" s="71">
        <f>SUM(P14+P29-P30)</f>
        <v>240076</v>
      </c>
      <c r="Q31" s="229" t="s">
        <v>1063</v>
      </c>
      <c r="R31" s="71">
        <f>SUM(R14+R29-R30)</f>
        <v>1259260</v>
      </c>
      <c r="S31" s="229" t="s">
        <v>1064</v>
      </c>
      <c r="T31" s="71">
        <f>SUM(T14+T29-T30)</f>
        <v>75057</v>
      </c>
      <c r="U31" s="56" t="s">
        <v>1065</v>
      </c>
      <c r="V31" s="73">
        <v>0</v>
      </c>
      <c r="W31" s="235" t="s">
        <v>1066</v>
      </c>
      <c r="X31" s="71">
        <f>SUM(X14+X29-X30)</f>
        <v>571</v>
      </c>
      <c r="Y31" s="229" t="s">
        <v>1067</v>
      </c>
      <c r="Z31" s="71">
        <f>SUM(Z14+Z29-Z30)</f>
        <v>75628</v>
      </c>
      <c r="AA31" s="229" t="s">
        <v>1068</v>
      </c>
      <c r="AB31" s="73">
        <f t="shared" ref="AB31:AB32" si="5">SUM(R31-Z31)</f>
        <v>1183632</v>
      </c>
      <c r="AC31" s="230" t="s">
        <v>1069</v>
      </c>
      <c r="AD31" s="231"/>
      <c r="AH31" s="18">
        <f>1259260-1255816</f>
        <v>3444</v>
      </c>
    </row>
    <row r="32" spans="1:34" s="18" customFormat="1" ht="42" customHeight="1" x14ac:dyDescent="0.2">
      <c r="A32" s="28" t="s">
        <v>1070</v>
      </c>
      <c r="B32" s="237" t="s">
        <v>1071</v>
      </c>
      <c r="C32" s="228" t="s">
        <v>1072</v>
      </c>
      <c r="D32" s="73">
        <f>SUM(D31)</f>
        <v>764802</v>
      </c>
      <c r="E32" s="56" t="s">
        <v>1073</v>
      </c>
      <c r="F32" s="73">
        <f>SUM(F31)</f>
        <v>3444</v>
      </c>
      <c r="G32" s="229" t="s">
        <v>1074</v>
      </c>
      <c r="H32" s="56"/>
      <c r="I32" s="229" t="s">
        <v>1075</v>
      </c>
      <c r="J32" s="73">
        <f>SUM(J31)</f>
        <v>57996</v>
      </c>
      <c r="K32" s="43" t="s">
        <v>1076</v>
      </c>
      <c r="L32" s="73">
        <f>SUM(L31)</f>
        <v>153760</v>
      </c>
      <c r="M32" s="43" t="s">
        <v>1077</v>
      </c>
      <c r="N32" s="73">
        <f>SUM(N31)</f>
        <v>39182</v>
      </c>
      <c r="O32" s="229" t="s">
        <v>1078</v>
      </c>
      <c r="P32" s="73">
        <f>SUM(P31)</f>
        <v>240076</v>
      </c>
      <c r="Q32" s="229" t="s">
        <v>1079</v>
      </c>
      <c r="R32" s="73">
        <f>SUM(R31)</f>
        <v>1259260</v>
      </c>
      <c r="S32" s="229" t="s">
        <v>1080</v>
      </c>
      <c r="T32" s="71">
        <f>+T31</f>
        <v>75057</v>
      </c>
      <c r="U32" s="56" t="s">
        <v>1081</v>
      </c>
      <c r="V32" s="69">
        <v>0</v>
      </c>
      <c r="W32" s="235" t="s">
        <v>1082</v>
      </c>
      <c r="X32" s="73">
        <f>SUM(X31)</f>
        <v>571</v>
      </c>
      <c r="Y32" s="229" t="s">
        <v>1083</v>
      </c>
      <c r="Z32" s="73">
        <f>SUM(Z31)</f>
        <v>75628</v>
      </c>
      <c r="AA32" s="229" t="s">
        <v>1084</v>
      </c>
      <c r="AB32" s="73">
        <f t="shared" si="5"/>
        <v>1183632</v>
      </c>
      <c r="AC32" s="230" t="s">
        <v>1085</v>
      </c>
      <c r="AD32" s="231"/>
      <c r="AF32" s="18">
        <f>764802+3444+57996+153760+39182+240076</f>
        <v>1259260</v>
      </c>
    </row>
    <row r="33" spans="1:30" s="18" customFormat="1" ht="42" customHeight="1" x14ac:dyDescent="0.2">
      <c r="A33" s="28" t="s">
        <v>1086</v>
      </c>
      <c r="B33" s="38" t="s">
        <v>1279</v>
      </c>
      <c r="C33" s="228" t="s">
        <v>1087</v>
      </c>
      <c r="D33" s="76"/>
      <c r="E33" s="56" t="s">
        <v>1088</v>
      </c>
      <c r="F33" s="76"/>
      <c r="G33" s="229" t="s">
        <v>1089</v>
      </c>
      <c r="H33" s="56"/>
      <c r="I33" s="229" t="s">
        <v>1090</v>
      </c>
      <c r="J33" s="56"/>
      <c r="K33" s="43" t="s">
        <v>1091</v>
      </c>
      <c r="L33" s="56"/>
      <c r="M33" s="43" t="s">
        <v>1092</v>
      </c>
      <c r="N33" s="56"/>
      <c r="O33" s="229" t="s">
        <v>1093</v>
      </c>
      <c r="P33" s="56"/>
      <c r="Q33" s="229" t="s">
        <v>1094</v>
      </c>
      <c r="R33" s="73">
        <f t="shared" ref="R33:T49" si="6">SUM(D33+F33+H33+J33+L33+N33+P33)</f>
        <v>0</v>
      </c>
      <c r="S33" s="229" t="s">
        <v>1095</v>
      </c>
      <c r="T33" s="56"/>
      <c r="U33" s="56" t="s">
        <v>1096</v>
      </c>
      <c r="V33" s="56"/>
      <c r="W33" s="235" t="s">
        <v>1097</v>
      </c>
      <c r="X33" s="56"/>
      <c r="Y33" s="229" t="s">
        <v>1098</v>
      </c>
      <c r="Z33" s="69">
        <f t="shared" ref="Z33:Z49" si="7">SUM(T33+V33+X33)</f>
        <v>0</v>
      </c>
      <c r="AA33" s="229" t="s">
        <v>147</v>
      </c>
      <c r="AB33" s="73">
        <f t="shared" ref="AB33:AB52" si="8">SUM(R33-Z33)</f>
        <v>0</v>
      </c>
      <c r="AC33" s="230" t="s">
        <v>1099</v>
      </c>
      <c r="AD33" s="231"/>
    </row>
    <row r="34" spans="1:30" s="18" customFormat="1" ht="42" customHeight="1" x14ac:dyDescent="0.2">
      <c r="A34" s="28" t="s">
        <v>1100</v>
      </c>
      <c r="B34" s="38" t="s">
        <v>1280</v>
      </c>
      <c r="C34" s="228" t="s">
        <v>1101</v>
      </c>
      <c r="D34" s="76"/>
      <c r="E34" s="56" t="s">
        <v>1102</v>
      </c>
      <c r="F34" s="76"/>
      <c r="G34" s="229" t="s">
        <v>1103</v>
      </c>
      <c r="H34" s="56"/>
      <c r="I34" s="229" t="s">
        <v>1104</v>
      </c>
      <c r="J34" s="56"/>
      <c r="K34" s="43" t="s">
        <v>1105</v>
      </c>
      <c r="L34" s="56"/>
      <c r="M34" s="43" t="s">
        <v>1106</v>
      </c>
      <c r="N34" s="56"/>
      <c r="O34" s="229" t="s">
        <v>1107</v>
      </c>
      <c r="P34" s="56"/>
      <c r="Q34" s="229" t="s">
        <v>1108</v>
      </c>
      <c r="R34" s="73">
        <f t="shared" si="6"/>
        <v>0</v>
      </c>
      <c r="S34" s="229" t="s">
        <v>1109</v>
      </c>
      <c r="T34" s="56"/>
      <c r="U34" s="56" t="s">
        <v>1110</v>
      </c>
      <c r="V34" s="56"/>
      <c r="W34" s="235" t="s">
        <v>1111</v>
      </c>
      <c r="X34" s="56"/>
      <c r="Y34" s="229" t="s">
        <v>1112</v>
      </c>
      <c r="Z34" s="69">
        <f t="shared" si="7"/>
        <v>0</v>
      </c>
      <c r="AA34" s="229" t="s">
        <v>147</v>
      </c>
      <c r="AB34" s="73">
        <f t="shared" si="8"/>
        <v>0</v>
      </c>
      <c r="AC34" s="230" t="s">
        <v>1113</v>
      </c>
      <c r="AD34" s="231"/>
    </row>
    <row r="35" spans="1:30" s="18" customFormat="1" ht="42" customHeight="1" x14ac:dyDescent="0.2">
      <c r="A35" s="28" t="s">
        <v>1114</v>
      </c>
      <c r="B35" s="38" t="s">
        <v>1115</v>
      </c>
      <c r="C35" s="228" t="s">
        <v>1116</v>
      </c>
      <c r="D35" s="73">
        <f>SUM(D32+D33-D34)</f>
        <v>764802</v>
      </c>
      <c r="E35" s="56" t="s">
        <v>1117</v>
      </c>
      <c r="F35" s="73">
        <f>SUM(F32+F33-F34)</f>
        <v>3444</v>
      </c>
      <c r="G35" s="229" t="s">
        <v>1118</v>
      </c>
      <c r="H35" s="73">
        <f>SUM(H32+H33-H34)</f>
        <v>0</v>
      </c>
      <c r="I35" s="229" t="s">
        <v>1119</v>
      </c>
      <c r="J35" s="73">
        <f>SUM(J32+J33-J34)</f>
        <v>57996</v>
      </c>
      <c r="K35" s="43" t="s">
        <v>1120</v>
      </c>
      <c r="L35" s="73">
        <f>SUM(L32+L33-L34)</f>
        <v>153760</v>
      </c>
      <c r="M35" s="43" t="s">
        <v>1121</v>
      </c>
      <c r="N35" s="73">
        <f>SUM(N32+N33-N34)</f>
        <v>39182</v>
      </c>
      <c r="O35" s="229" t="s">
        <v>1122</v>
      </c>
      <c r="P35" s="73">
        <f>SUM(P32+P33-P34)</f>
        <v>240076</v>
      </c>
      <c r="Q35" s="229" t="s">
        <v>1123</v>
      </c>
      <c r="R35" s="73">
        <f>SUM(R32+R33-R34)</f>
        <v>1259260</v>
      </c>
      <c r="S35" s="229" t="s">
        <v>1124</v>
      </c>
      <c r="T35" s="73">
        <f>SUM(T32+T33-T34)</f>
        <v>75057</v>
      </c>
      <c r="U35" s="56" t="s">
        <v>1125</v>
      </c>
      <c r="V35" s="56"/>
      <c r="W35" s="235" t="s">
        <v>1126</v>
      </c>
      <c r="X35" s="73">
        <f>SUM(X32+X33-X34)</f>
        <v>571</v>
      </c>
      <c r="Y35" s="229" t="s">
        <v>1127</v>
      </c>
      <c r="Z35" s="73">
        <f>SUM(Z32+Z33-Z34)</f>
        <v>75628</v>
      </c>
      <c r="AA35" s="229" t="s">
        <v>1128</v>
      </c>
      <c r="AB35" s="73">
        <f t="shared" si="8"/>
        <v>1183632</v>
      </c>
      <c r="AC35" s="230" t="s">
        <v>1129</v>
      </c>
      <c r="AD35" s="231"/>
    </row>
    <row r="36" spans="1:30" s="18" customFormat="1" ht="42" customHeight="1" x14ac:dyDescent="0.2">
      <c r="A36" s="28" t="s">
        <v>1130</v>
      </c>
      <c r="B36" s="38" t="s">
        <v>1282</v>
      </c>
      <c r="C36" s="228" t="s">
        <v>1131</v>
      </c>
      <c r="D36" s="76"/>
      <c r="E36" s="56" t="s">
        <v>147</v>
      </c>
      <c r="F36" s="76"/>
      <c r="G36" s="229" t="s">
        <v>1132</v>
      </c>
      <c r="H36" s="56"/>
      <c r="I36" s="229" t="s">
        <v>1133</v>
      </c>
      <c r="J36" s="56"/>
      <c r="K36" s="43" t="s">
        <v>147</v>
      </c>
      <c r="L36" s="56"/>
      <c r="M36" s="43" t="s">
        <v>147</v>
      </c>
      <c r="N36" s="56"/>
      <c r="O36" s="229" t="s">
        <v>147</v>
      </c>
      <c r="P36" s="56"/>
      <c r="Q36" s="229" t="s">
        <v>1134</v>
      </c>
      <c r="R36" s="73">
        <f t="shared" si="6"/>
        <v>0</v>
      </c>
      <c r="S36" s="229" t="s">
        <v>147</v>
      </c>
      <c r="T36" s="56"/>
      <c r="U36" s="56" t="s">
        <v>147</v>
      </c>
      <c r="V36" s="56"/>
      <c r="W36" s="235" t="s">
        <v>147</v>
      </c>
      <c r="X36" s="56"/>
      <c r="Y36" s="229" t="s">
        <v>147</v>
      </c>
      <c r="Z36" s="69">
        <f t="shared" si="7"/>
        <v>0</v>
      </c>
      <c r="AA36" s="229" t="s">
        <v>147</v>
      </c>
      <c r="AB36" s="73">
        <f t="shared" si="8"/>
        <v>0</v>
      </c>
      <c r="AC36" s="230" t="s">
        <v>147</v>
      </c>
      <c r="AD36" s="231" t="s">
        <v>147</v>
      </c>
    </row>
    <row r="37" spans="1:30" s="18" customFormat="1" ht="42" customHeight="1" x14ac:dyDescent="0.2">
      <c r="A37" s="28" t="s">
        <v>1135</v>
      </c>
      <c r="B37" s="38" t="s">
        <v>141</v>
      </c>
      <c r="C37" s="228" t="s">
        <v>147</v>
      </c>
      <c r="D37" s="76"/>
      <c r="E37" s="56" t="s">
        <v>147</v>
      </c>
      <c r="F37" s="76"/>
      <c r="G37" s="229" t="s">
        <v>147</v>
      </c>
      <c r="H37" s="56"/>
      <c r="I37" s="229" t="s">
        <v>147</v>
      </c>
      <c r="J37" s="56"/>
      <c r="K37" s="43" t="s">
        <v>147</v>
      </c>
      <c r="L37" s="56"/>
      <c r="M37" s="43" t="s">
        <v>1136</v>
      </c>
      <c r="N37" s="73">
        <v>23017</v>
      </c>
      <c r="O37" s="229" t="s">
        <v>147</v>
      </c>
      <c r="P37" s="56"/>
      <c r="Q37" s="229" t="s">
        <v>1137</v>
      </c>
      <c r="R37" s="73">
        <f t="shared" si="6"/>
        <v>23017</v>
      </c>
      <c r="S37" s="229" t="s">
        <v>147</v>
      </c>
      <c r="T37" s="56"/>
      <c r="U37" s="56" t="s">
        <v>147</v>
      </c>
      <c r="V37" s="56"/>
      <c r="W37" s="235" t="s">
        <v>147</v>
      </c>
      <c r="X37" s="56"/>
      <c r="Y37" s="229" t="s">
        <v>147</v>
      </c>
      <c r="Z37" s="69">
        <f t="shared" si="7"/>
        <v>0</v>
      </c>
      <c r="AA37" s="229" t="s">
        <v>147</v>
      </c>
      <c r="AB37" s="181" t="s">
        <v>148</v>
      </c>
      <c r="AC37" s="230" t="s">
        <v>147</v>
      </c>
      <c r="AD37" s="231" t="s">
        <v>147</v>
      </c>
    </row>
    <row r="38" spans="1:30" s="18" customFormat="1" ht="42" customHeight="1" x14ac:dyDescent="0.2">
      <c r="A38" s="28" t="s">
        <v>1138</v>
      </c>
      <c r="B38" s="38" t="s">
        <v>1283</v>
      </c>
      <c r="C38" s="228" t="s">
        <v>147</v>
      </c>
      <c r="D38" s="76"/>
      <c r="E38" s="56" t="s">
        <v>147</v>
      </c>
      <c r="F38" s="76"/>
      <c r="G38" s="229" t="s">
        <v>147</v>
      </c>
      <c r="H38" s="56"/>
      <c r="I38" s="229" t="s">
        <v>147</v>
      </c>
      <c r="J38" s="56"/>
      <c r="K38" s="43" t="s">
        <v>147</v>
      </c>
      <c r="L38" s="56"/>
      <c r="M38" s="43" t="s">
        <v>1139</v>
      </c>
      <c r="N38" s="73">
        <v>21338</v>
      </c>
      <c r="O38" s="229" t="s">
        <v>147</v>
      </c>
      <c r="P38" s="56"/>
      <c r="Q38" s="229" t="s">
        <v>1140</v>
      </c>
      <c r="R38" s="73">
        <f t="shared" si="6"/>
        <v>21338</v>
      </c>
      <c r="S38" s="229" t="s">
        <v>147</v>
      </c>
      <c r="T38" s="56"/>
      <c r="U38" s="56" t="s">
        <v>147</v>
      </c>
      <c r="V38" s="56"/>
      <c r="W38" s="235" t="s">
        <v>147</v>
      </c>
      <c r="X38" s="69"/>
      <c r="Y38" s="229" t="s">
        <v>147</v>
      </c>
      <c r="Z38" s="69">
        <f t="shared" si="7"/>
        <v>0</v>
      </c>
      <c r="AA38" s="229" t="s">
        <v>147</v>
      </c>
      <c r="AB38" s="181" t="s">
        <v>148</v>
      </c>
      <c r="AC38" s="230" t="s">
        <v>147</v>
      </c>
      <c r="AD38" s="231" t="s">
        <v>147</v>
      </c>
    </row>
    <row r="39" spans="1:30" s="18" customFormat="1" ht="42" customHeight="1" x14ac:dyDescent="0.2">
      <c r="A39" s="28" t="s">
        <v>1141</v>
      </c>
      <c r="B39" s="38" t="s">
        <v>1284</v>
      </c>
      <c r="C39" s="228" t="s">
        <v>147</v>
      </c>
      <c r="D39" s="76"/>
      <c r="E39" s="56" t="s">
        <v>147</v>
      </c>
      <c r="F39" s="76"/>
      <c r="G39" s="229" t="s">
        <v>147</v>
      </c>
      <c r="H39" s="56"/>
      <c r="I39" s="229" t="s">
        <v>147</v>
      </c>
      <c r="J39" s="56"/>
      <c r="K39" s="43" t="s">
        <v>147</v>
      </c>
      <c r="L39" s="56"/>
      <c r="M39" s="43" t="s">
        <v>147</v>
      </c>
      <c r="N39" s="56"/>
      <c r="O39" s="229" t="s">
        <v>147</v>
      </c>
      <c r="P39" s="56"/>
      <c r="Q39" s="229" t="s">
        <v>147</v>
      </c>
      <c r="R39" s="73">
        <f t="shared" si="6"/>
        <v>0</v>
      </c>
      <c r="S39" s="229" t="s">
        <v>147</v>
      </c>
      <c r="T39" s="56"/>
      <c r="U39" s="56" t="s">
        <v>147</v>
      </c>
      <c r="V39" s="56"/>
      <c r="W39" s="235" t="s">
        <v>1142</v>
      </c>
      <c r="X39" s="69"/>
      <c r="Y39" s="229" t="s">
        <v>1143</v>
      </c>
      <c r="Z39" s="69">
        <f t="shared" si="7"/>
        <v>0</v>
      </c>
      <c r="AA39" s="229" t="s">
        <v>147</v>
      </c>
      <c r="AB39" s="181" t="s">
        <v>148</v>
      </c>
      <c r="AC39" s="230" t="s">
        <v>147</v>
      </c>
      <c r="AD39" s="231" t="s">
        <v>147</v>
      </c>
    </row>
    <row r="40" spans="1:30" s="18" customFormat="1" ht="42" customHeight="1" x14ac:dyDescent="0.2">
      <c r="A40" s="28" t="s">
        <v>1144</v>
      </c>
      <c r="B40" s="38" t="s">
        <v>1285</v>
      </c>
      <c r="C40" s="228" t="s">
        <v>1145</v>
      </c>
      <c r="D40" s="76"/>
      <c r="E40" s="56" t="s">
        <v>1146</v>
      </c>
      <c r="F40" s="76"/>
      <c r="G40" s="229" t="s">
        <v>147</v>
      </c>
      <c r="H40" s="56"/>
      <c r="I40" s="229" t="s">
        <v>147</v>
      </c>
      <c r="J40" s="56"/>
      <c r="K40" s="43" t="s">
        <v>1147</v>
      </c>
      <c r="L40" s="56"/>
      <c r="M40" s="43" t="s">
        <v>147</v>
      </c>
      <c r="N40" s="56"/>
      <c r="O40" s="229" t="s">
        <v>1148</v>
      </c>
      <c r="P40" s="73">
        <v>343057</v>
      </c>
      <c r="Q40" s="229" t="s">
        <v>1149</v>
      </c>
      <c r="R40" s="73">
        <f t="shared" si="6"/>
        <v>343057</v>
      </c>
      <c r="S40" s="229" t="s">
        <v>147</v>
      </c>
      <c r="T40" s="56"/>
      <c r="U40" s="56" t="s">
        <v>147</v>
      </c>
      <c r="V40" s="56"/>
      <c r="W40" s="235" t="s">
        <v>147</v>
      </c>
      <c r="X40" s="56"/>
      <c r="Y40" s="229" t="s">
        <v>147</v>
      </c>
      <c r="Z40" s="69">
        <f t="shared" si="7"/>
        <v>0</v>
      </c>
      <c r="AA40" s="229" t="s">
        <v>147</v>
      </c>
      <c r="AB40" s="181" t="s">
        <v>148</v>
      </c>
      <c r="AC40" s="230" t="s">
        <v>147</v>
      </c>
      <c r="AD40" s="231" t="s">
        <v>147</v>
      </c>
    </row>
    <row r="41" spans="1:30" s="18" customFormat="1" ht="42" customHeight="1" x14ac:dyDescent="0.2">
      <c r="A41" s="28" t="s">
        <v>1150</v>
      </c>
      <c r="B41" s="38" t="s">
        <v>1286</v>
      </c>
      <c r="C41" s="228" t="s">
        <v>147</v>
      </c>
      <c r="D41" s="76"/>
      <c r="E41" s="56" t="s">
        <v>147</v>
      </c>
      <c r="F41" s="76"/>
      <c r="G41" s="229" t="s">
        <v>147</v>
      </c>
      <c r="H41" s="56"/>
      <c r="I41" s="229" t="s">
        <v>147</v>
      </c>
      <c r="J41" s="56"/>
      <c r="K41" s="43" t="s">
        <v>147</v>
      </c>
      <c r="L41" s="56"/>
      <c r="M41" s="43" t="s">
        <v>147</v>
      </c>
      <c r="N41" s="56"/>
      <c r="O41" s="229" t="s">
        <v>147</v>
      </c>
      <c r="P41" s="56"/>
      <c r="Q41" s="229" t="s">
        <v>147</v>
      </c>
      <c r="R41" s="73">
        <f t="shared" si="6"/>
        <v>0</v>
      </c>
      <c r="S41" s="229" t="s">
        <v>1151</v>
      </c>
      <c r="T41" s="73">
        <f t="shared" si="6"/>
        <v>0</v>
      </c>
      <c r="U41" s="56" t="s">
        <v>147</v>
      </c>
      <c r="V41" s="56"/>
      <c r="W41" s="235" t="s">
        <v>147</v>
      </c>
      <c r="X41" s="56"/>
      <c r="Y41" s="229" t="s">
        <v>1152</v>
      </c>
      <c r="Z41" s="69">
        <f t="shared" si="7"/>
        <v>0</v>
      </c>
      <c r="AA41" s="229" t="s">
        <v>147</v>
      </c>
      <c r="AB41" s="73">
        <f t="shared" si="8"/>
        <v>0</v>
      </c>
      <c r="AC41" s="230" t="s">
        <v>1153</v>
      </c>
      <c r="AD41" s="231"/>
    </row>
    <row r="42" spans="1:30" s="18" customFormat="1" ht="42" customHeight="1" x14ac:dyDescent="0.2">
      <c r="A42" s="28" t="s">
        <v>1154</v>
      </c>
      <c r="B42" s="38" t="s">
        <v>1287</v>
      </c>
      <c r="C42" s="228" t="s">
        <v>147</v>
      </c>
      <c r="D42" s="76"/>
      <c r="E42" s="56" t="s">
        <v>147</v>
      </c>
      <c r="F42" s="76"/>
      <c r="G42" s="229" t="s">
        <v>147</v>
      </c>
      <c r="H42" s="56"/>
      <c r="I42" s="229" t="s">
        <v>147</v>
      </c>
      <c r="J42" s="56"/>
      <c r="K42" s="43" t="s">
        <v>147</v>
      </c>
      <c r="L42" s="56"/>
      <c r="M42" s="43" t="s">
        <v>147</v>
      </c>
      <c r="N42" s="56"/>
      <c r="O42" s="229" t="s">
        <v>147</v>
      </c>
      <c r="P42" s="56"/>
      <c r="Q42" s="229" t="s">
        <v>147</v>
      </c>
      <c r="R42" s="73">
        <f t="shared" si="6"/>
        <v>0</v>
      </c>
      <c r="S42" s="229" t="s">
        <v>147</v>
      </c>
      <c r="T42" s="56"/>
      <c r="U42" s="56" t="s">
        <v>1155</v>
      </c>
      <c r="V42" s="56"/>
      <c r="W42" s="235" t="s">
        <v>147</v>
      </c>
      <c r="X42" s="56"/>
      <c r="Y42" s="229" t="s">
        <v>1156</v>
      </c>
      <c r="Z42" s="69">
        <f t="shared" si="7"/>
        <v>0</v>
      </c>
      <c r="AA42" s="229" t="s">
        <v>147</v>
      </c>
      <c r="AB42" s="73">
        <f t="shared" si="8"/>
        <v>0</v>
      </c>
      <c r="AC42" s="230" t="s">
        <v>147</v>
      </c>
      <c r="AD42" s="231" t="s">
        <v>147</v>
      </c>
    </row>
    <row r="43" spans="1:30" s="18" customFormat="1" ht="42" customHeight="1" x14ac:dyDescent="0.2">
      <c r="A43" s="28" t="s">
        <v>1157</v>
      </c>
      <c r="B43" s="38" t="s">
        <v>1288</v>
      </c>
      <c r="C43" s="228" t="s">
        <v>147</v>
      </c>
      <c r="D43" s="76"/>
      <c r="E43" s="56" t="s">
        <v>147</v>
      </c>
      <c r="F43" s="76"/>
      <c r="G43" s="229" t="s">
        <v>147</v>
      </c>
      <c r="H43" s="56"/>
      <c r="I43" s="229" t="s">
        <v>147</v>
      </c>
      <c r="J43" s="56"/>
      <c r="K43" s="43" t="s">
        <v>147</v>
      </c>
      <c r="L43" s="56"/>
      <c r="M43" s="43" t="s">
        <v>147</v>
      </c>
      <c r="N43" s="56"/>
      <c r="O43" s="229" t="s">
        <v>147</v>
      </c>
      <c r="P43" s="56"/>
      <c r="Q43" s="229" t="s">
        <v>147</v>
      </c>
      <c r="R43" s="73">
        <f t="shared" si="6"/>
        <v>0</v>
      </c>
      <c r="S43" s="229" t="s">
        <v>147</v>
      </c>
      <c r="T43" s="56"/>
      <c r="U43" s="56" t="s">
        <v>1158</v>
      </c>
      <c r="V43" s="56"/>
      <c r="W43" s="235" t="s">
        <v>147</v>
      </c>
      <c r="X43" s="56"/>
      <c r="Y43" s="229" t="s">
        <v>1159</v>
      </c>
      <c r="Z43" s="69">
        <f t="shared" si="7"/>
        <v>0</v>
      </c>
      <c r="AA43" s="229" t="s">
        <v>147</v>
      </c>
      <c r="AB43" s="73">
        <f t="shared" si="8"/>
        <v>0</v>
      </c>
      <c r="AC43" s="230" t="s">
        <v>147</v>
      </c>
      <c r="AD43" s="231" t="s">
        <v>147</v>
      </c>
    </row>
    <row r="44" spans="1:30" s="18" customFormat="1" ht="42" customHeight="1" x14ac:dyDescent="0.2">
      <c r="A44" s="28" t="s">
        <v>1160</v>
      </c>
      <c r="B44" s="38" t="s">
        <v>1289</v>
      </c>
      <c r="C44" s="228" t="s">
        <v>1161</v>
      </c>
      <c r="D44" s="76"/>
      <c r="E44" s="56" t="s">
        <v>1162</v>
      </c>
      <c r="F44" s="76"/>
      <c r="G44" s="229" t="s">
        <v>1163</v>
      </c>
      <c r="H44" s="56"/>
      <c r="I44" s="229" t="s">
        <v>1164</v>
      </c>
      <c r="J44" s="56"/>
      <c r="K44" s="43" t="s">
        <v>1165</v>
      </c>
      <c r="L44" s="56"/>
      <c r="M44" s="43" t="s">
        <v>1166</v>
      </c>
      <c r="N44" s="56"/>
      <c r="O44" s="229" t="s">
        <v>1167</v>
      </c>
      <c r="P44" s="56"/>
      <c r="Q44" s="229" t="s">
        <v>1168</v>
      </c>
      <c r="R44" s="73">
        <f t="shared" si="6"/>
        <v>0</v>
      </c>
      <c r="S44" s="229" t="s">
        <v>1169</v>
      </c>
      <c r="T44" s="56"/>
      <c r="U44" s="56" t="s">
        <v>1170</v>
      </c>
      <c r="V44" s="56"/>
      <c r="W44" s="235" t="s">
        <v>1171</v>
      </c>
      <c r="X44" s="56"/>
      <c r="Y44" s="229" t="s">
        <v>1172</v>
      </c>
      <c r="Z44" s="69">
        <f t="shared" si="7"/>
        <v>0</v>
      </c>
      <c r="AA44" s="229" t="s">
        <v>147</v>
      </c>
      <c r="AB44" s="73">
        <f t="shared" si="8"/>
        <v>0</v>
      </c>
      <c r="AC44" s="230" t="s">
        <v>1173</v>
      </c>
      <c r="AD44" s="231"/>
    </row>
    <row r="45" spans="1:30" s="18" customFormat="1" ht="42" customHeight="1" x14ac:dyDescent="0.2">
      <c r="A45" s="28" t="s">
        <v>1174</v>
      </c>
      <c r="B45" s="38" t="s">
        <v>1290</v>
      </c>
      <c r="C45" s="228" t="s">
        <v>1175</v>
      </c>
      <c r="D45" s="76"/>
      <c r="E45" s="56" t="s">
        <v>1176</v>
      </c>
      <c r="F45" s="76"/>
      <c r="G45" s="229" t="s">
        <v>1177</v>
      </c>
      <c r="H45" s="56"/>
      <c r="I45" s="229" t="s">
        <v>1178</v>
      </c>
      <c r="J45" s="56"/>
      <c r="K45" s="43" t="s">
        <v>1179</v>
      </c>
      <c r="L45" s="56"/>
      <c r="M45" s="43" t="s">
        <v>1180</v>
      </c>
      <c r="N45" s="56"/>
      <c r="O45" s="229" t="s">
        <v>1181</v>
      </c>
      <c r="P45" s="73">
        <v>75057</v>
      </c>
      <c r="Q45" s="229" t="s">
        <v>1182</v>
      </c>
      <c r="R45" s="73">
        <f t="shared" si="6"/>
        <v>75057</v>
      </c>
      <c r="S45" s="229" t="s">
        <v>1183</v>
      </c>
      <c r="T45" s="73">
        <v>75057</v>
      </c>
      <c r="U45" s="56" t="s">
        <v>1184</v>
      </c>
      <c r="V45" s="56"/>
      <c r="W45" s="235" t="s">
        <v>1185</v>
      </c>
      <c r="X45" s="56"/>
      <c r="Y45" s="229" t="s">
        <v>1186</v>
      </c>
      <c r="Z45" s="69">
        <v>75057</v>
      </c>
      <c r="AA45" s="229" t="s">
        <v>147</v>
      </c>
      <c r="AB45" s="181" t="s">
        <v>148</v>
      </c>
      <c r="AC45" s="230" t="s">
        <v>1187</v>
      </c>
      <c r="AD45" s="231"/>
    </row>
    <row r="46" spans="1:30" s="18" customFormat="1" ht="42" customHeight="1" x14ac:dyDescent="0.2">
      <c r="A46" s="28" t="s">
        <v>1188</v>
      </c>
      <c r="B46" s="38" t="s">
        <v>1291</v>
      </c>
      <c r="C46" s="228" t="s">
        <v>147</v>
      </c>
      <c r="D46" s="76"/>
      <c r="E46" s="56" t="s">
        <v>147</v>
      </c>
      <c r="F46" s="76"/>
      <c r="G46" s="229" t="s">
        <v>147</v>
      </c>
      <c r="H46" s="56"/>
      <c r="I46" s="229" t="s">
        <v>147</v>
      </c>
      <c r="J46" s="56"/>
      <c r="K46" s="43" t="s">
        <v>147</v>
      </c>
      <c r="L46" s="56"/>
      <c r="M46" s="43" t="s">
        <v>147</v>
      </c>
      <c r="N46" s="56"/>
      <c r="O46" s="229" t="s">
        <v>1189</v>
      </c>
      <c r="P46" s="56"/>
      <c r="Q46" s="229" t="s">
        <v>1190</v>
      </c>
      <c r="R46" s="73">
        <f t="shared" si="6"/>
        <v>0</v>
      </c>
      <c r="S46" s="229" t="s">
        <v>147</v>
      </c>
      <c r="T46" s="56"/>
      <c r="U46" s="56" t="s">
        <v>147</v>
      </c>
      <c r="V46" s="56"/>
      <c r="W46" s="235" t="s">
        <v>147</v>
      </c>
      <c r="X46" s="56"/>
      <c r="Y46" s="229" t="s">
        <v>147</v>
      </c>
      <c r="Z46" s="69">
        <f t="shared" si="7"/>
        <v>0</v>
      </c>
      <c r="AA46" s="229" t="s">
        <v>147</v>
      </c>
      <c r="AB46" s="73">
        <f t="shared" si="8"/>
        <v>0</v>
      </c>
      <c r="AC46" s="230" t="s">
        <v>147</v>
      </c>
      <c r="AD46" s="231" t="s">
        <v>147</v>
      </c>
    </row>
    <row r="47" spans="1:30" s="18" customFormat="1" ht="42" customHeight="1" x14ac:dyDescent="0.2">
      <c r="A47" s="28" t="s">
        <v>1191</v>
      </c>
      <c r="B47" s="38" t="s">
        <v>1292</v>
      </c>
      <c r="C47" s="228" t="s">
        <v>147</v>
      </c>
      <c r="D47" s="76"/>
      <c r="E47" s="56" t="s">
        <v>147</v>
      </c>
      <c r="F47" s="76"/>
      <c r="G47" s="229" t="s">
        <v>147</v>
      </c>
      <c r="H47" s="56"/>
      <c r="I47" s="229" t="s">
        <v>147</v>
      </c>
      <c r="J47" s="56"/>
      <c r="K47" s="43" t="s">
        <v>147</v>
      </c>
      <c r="L47" s="56"/>
      <c r="M47" s="43" t="s">
        <v>147</v>
      </c>
      <c r="N47" s="56"/>
      <c r="O47" s="229" t="s">
        <v>1192</v>
      </c>
      <c r="P47" s="56"/>
      <c r="Q47" s="229" t="s">
        <v>1193</v>
      </c>
      <c r="R47" s="73">
        <f t="shared" si="6"/>
        <v>0</v>
      </c>
      <c r="S47" s="229" t="s">
        <v>147</v>
      </c>
      <c r="T47" s="56"/>
      <c r="U47" s="56" t="s">
        <v>147</v>
      </c>
      <c r="V47" s="56"/>
      <c r="W47" s="235" t="s">
        <v>147</v>
      </c>
      <c r="X47" s="56"/>
      <c r="Y47" s="229" t="s">
        <v>147</v>
      </c>
      <c r="Z47" s="69">
        <f t="shared" si="7"/>
        <v>0</v>
      </c>
      <c r="AA47" s="229" t="s">
        <v>147</v>
      </c>
      <c r="AB47" s="73">
        <f t="shared" si="8"/>
        <v>0</v>
      </c>
      <c r="AC47" s="230" t="s">
        <v>147</v>
      </c>
      <c r="AD47" s="231" t="s">
        <v>147</v>
      </c>
    </row>
    <row r="48" spans="1:30" s="18" customFormat="1" ht="42" customHeight="1" x14ac:dyDescent="0.2">
      <c r="A48" s="28" t="s">
        <v>1194</v>
      </c>
      <c r="B48" s="38" t="s">
        <v>1295</v>
      </c>
      <c r="C48" s="228" t="s">
        <v>1195</v>
      </c>
      <c r="D48" s="76"/>
      <c r="E48" s="56" t="s">
        <v>1196</v>
      </c>
      <c r="F48" s="76"/>
      <c r="G48" s="229" t="s">
        <v>1197</v>
      </c>
      <c r="H48" s="56"/>
      <c r="I48" s="229" t="s">
        <v>1198</v>
      </c>
      <c r="J48" s="56"/>
      <c r="K48" s="43" t="s">
        <v>1199</v>
      </c>
      <c r="L48" s="56"/>
      <c r="M48" s="43" t="s">
        <v>1200</v>
      </c>
      <c r="N48" s="56"/>
      <c r="O48" s="229" t="s">
        <v>1201</v>
      </c>
      <c r="P48" s="56"/>
      <c r="Q48" s="229" t="s">
        <v>1202</v>
      </c>
      <c r="R48" s="73">
        <f t="shared" si="6"/>
        <v>0</v>
      </c>
      <c r="S48" s="229" t="s">
        <v>1203</v>
      </c>
      <c r="T48" s="56"/>
      <c r="U48" s="56" t="s">
        <v>1204</v>
      </c>
      <c r="V48" s="56"/>
      <c r="W48" s="235" t="s">
        <v>1205</v>
      </c>
      <c r="X48" s="69">
        <v>1788</v>
      </c>
      <c r="Y48" s="229" t="s">
        <v>1206</v>
      </c>
      <c r="Z48" s="69">
        <f t="shared" si="7"/>
        <v>1788</v>
      </c>
      <c r="AA48" s="229" t="s">
        <v>147</v>
      </c>
      <c r="AB48" s="73">
        <f t="shared" si="8"/>
        <v>-1788</v>
      </c>
      <c r="AC48" s="230" t="s">
        <v>1207</v>
      </c>
      <c r="AD48" s="231"/>
    </row>
    <row r="49" spans="1:30" s="18" customFormat="1" ht="42" customHeight="1" x14ac:dyDescent="0.2">
      <c r="A49" s="28" t="s">
        <v>1208</v>
      </c>
      <c r="B49" s="38" t="s">
        <v>1296</v>
      </c>
      <c r="C49" s="228" t="s">
        <v>1209</v>
      </c>
      <c r="D49" s="76"/>
      <c r="E49" s="56" t="s">
        <v>1210</v>
      </c>
      <c r="F49" s="76"/>
      <c r="G49" s="229" t="s">
        <v>1211</v>
      </c>
      <c r="H49" s="56"/>
      <c r="I49" s="229" t="s">
        <v>1212</v>
      </c>
      <c r="J49" s="56"/>
      <c r="K49" s="43" t="s">
        <v>1213</v>
      </c>
      <c r="L49" s="56"/>
      <c r="M49" s="43" t="s">
        <v>1214</v>
      </c>
      <c r="N49" s="56"/>
      <c r="O49" s="229" t="s">
        <v>1215</v>
      </c>
      <c r="P49" s="56"/>
      <c r="Q49" s="229" t="s">
        <v>1216</v>
      </c>
      <c r="R49" s="73">
        <f t="shared" si="6"/>
        <v>0</v>
      </c>
      <c r="S49" s="229" t="s">
        <v>1217</v>
      </c>
      <c r="T49" s="56"/>
      <c r="U49" s="56" t="s">
        <v>1218</v>
      </c>
      <c r="V49" s="56"/>
      <c r="W49" s="235" t="s">
        <v>1219</v>
      </c>
      <c r="X49" s="69">
        <v>932</v>
      </c>
      <c r="Y49" s="229" t="s">
        <v>1220</v>
      </c>
      <c r="Z49" s="69">
        <f t="shared" si="7"/>
        <v>932</v>
      </c>
      <c r="AA49" s="229" t="s">
        <v>147</v>
      </c>
      <c r="AB49" s="73">
        <f t="shared" si="8"/>
        <v>-932</v>
      </c>
      <c r="AC49" s="230" t="s">
        <v>1221</v>
      </c>
      <c r="AD49" s="231"/>
    </row>
    <row r="50" spans="1:30" s="18" customFormat="1" ht="42" customHeight="1" x14ac:dyDescent="0.2">
      <c r="A50" s="28" t="s">
        <v>1222</v>
      </c>
      <c r="B50" s="232" t="s">
        <v>1223</v>
      </c>
      <c r="C50" s="228" t="s">
        <v>1224</v>
      </c>
      <c r="D50" s="73">
        <f>SUM(D36+D37+D39+D40+D41+D42+D44+D48)</f>
        <v>0</v>
      </c>
      <c r="E50" s="56" t="s">
        <v>1225</v>
      </c>
      <c r="F50" s="73">
        <f>SUM(F36+F37+F39+F40+F41+F42+F44+F48)</f>
        <v>0</v>
      </c>
      <c r="G50" s="229" t="s">
        <v>1226</v>
      </c>
      <c r="H50" s="73">
        <f>SUM(H36+H37+H39+H40+H41+H42+H44+H48)</f>
        <v>0</v>
      </c>
      <c r="I50" s="229" t="s">
        <v>1227</v>
      </c>
      <c r="J50" s="73">
        <f>SUM(J36+J37+J39+J40+J41+J42+J44+J48)</f>
        <v>0</v>
      </c>
      <c r="K50" s="43" t="s">
        <v>1228</v>
      </c>
      <c r="L50" s="73">
        <f>SUM(L36+L37+L39+L40+L41+L42+L44+L48)</f>
        <v>0</v>
      </c>
      <c r="M50" s="43" t="s">
        <v>1229</v>
      </c>
      <c r="N50" s="73">
        <f>SUM(N36+N37+N39+N40+N41+N42+N44+N48)</f>
        <v>23017</v>
      </c>
      <c r="O50" s="229" t="s">
        <v>1230</v>
      </c>
      <c r="P50" s="73">
        <f>SUM(P36+P37+P39+P40+P41+P42+P44+P48)</f>
        <v>343057</v>
      </c>
      <c r="Q50" s="229" t="s">
        <v>1231</v>
      </c>
      <c r="R50" s="73">
        <f>SUM(R36+R37+R39+R40+R41+R42+R44+R48)</f>
        <v>366074</v>
      </c>
      <c r="S50" s="229" t="s">
        <v>1232</v>
      </c>
      <c r="T50" s="73">
        <f>SUM(T36+T37+T39+T40+T41+T42+T44+T48)</f>
        <v>0</v>
      </c>
      <c r="U50" s="56" t="s">
        <v>1233</v>
      </c>
      <c r="V50" s="73">
        <f>SUM(V36+V37+V39+V40+V41+V42+V44+V48)</f>
        <v>0</v>
      </c>
      <c r="W50" s="235" t="s">
        <v>1234</v>
      </c>
      <c r="X50" s="73">
        <f>SUM(X36+X37+X39+X40+X41+X42+X44+X48)</f>
        <v>1788</v>
      </c>
      <c r="Y50" s="229" t="s">
        <v>1235</v>
      </c>
      <c r="Z50" s="73">
        <f>SUM(Z36+Z37+Z39+Z40+Z41+Z42+Z44+Z48)</f>
        <v>1788</v>
      </c>
      <c r="AA50" s="229" t="s">
        <v>147</v>
      </c>
      <c r="AB50" s="181" t="s">
        <v>148</v>
      </c>
      <c r="AC50" s="230" t="s">
        <v>1236</v>
      </c>
      <c r="AD50" s="231"/>
    </row>
    <row r="51" spans="1:30" s="18" customFormat="1" ht="42" customHeight="1" x14ac:dyDescent="0.2">
      <c r="A51" s="28" t="s">
        <v>1237</v>
      </c>
      <c r="B51" s="232" t="s">
        <v>1238</v>
      </c>
      <c r="C51" s="228" t="s">
        <v>1239</v>
      </c>
      <c r="D51" s="73">
        <f>SUM(D38+D43+D45+D46+D47+D49)</f>
        <v>0</v>
      </c>
      <c r="E51" s="56" t="s">
        <v>1240</v>
      </c>
      <c r="F51" s="73">
        <f>SUM(F38+F43+F45+F46+F47+F49)</f>
        <v>0</v>
      </c>
      <c r="G51" s="229" t="s">
        <v>1241</v>
      </c>
      <c r="H51" s="73">
        <f>SUM(H38+H43+H45+H46+H47+H49)</f>
        <v>0</v>
      </c>
      <c r="I51" s="229" t="s">
        <v>1242</v>
      </c>
      <c r="J51" s="73">
        <f>SUM(J38+J43+J45+J46+J47+J49)</f>
        <v>0</v>
      </c>
      <c r="K51" s="43" t="s">
        <v>1243</v>
      </c>
      <c r="L51" s="73">
        <f>SUM(L38+L43+L45+L46+L47+L49)</f>
        <v>0</v>
      </c>
      <c r="M51" s="43" t="s">
        <v>1244</v>
      </c>
      <c r="N51" s="73">
        <f>SUM(N38+N43+N45+N46+N47+N49)</f>
        <v>21338</v>
      </c>
      <c r="O51" s="229" t="s">
        <v>1245</v>
      </c>
      <c r="P51" s="73">
        <f>SUM(P38+P43+P45+P46+P47+P49)</f>
        <v>75057</v>
      </c>
      <c r="Q51" s="229" t="s">
        <v>1246</v>
      </c>
      <c r="R51" s="73">
        <f>SUM(R38+R43+R45+R46+R47+R49)</f>
        <v>96395</v>
      </c>
      <c r="S51" s="229" t="s">
        <v>1247</v>
      </c>
      <c r="T51" s="73">
        <f>SUM(T38+T43+T45+T46+T47+T49)</f>
        <v>75057</v>
      </c>
      <c r="U51" s="56" t="s">
        <v>1248</v>
      </c>
      <c r="V51" s="73">
        <f>SUM(V38+V43+V45+V46+V47+V49)</f>
        <v>0</v>
      </c>
      <c r="W51" s="235" t="s">
        <v>1249</v>
      </c>
      <c r="X51" s="73">
        <f>SUM(X38+X43+X45+X46+X47+X49)</f>
        <v>932</v>
      </c>
      <c r="Y51" s="229" t="s">
        <v>1250</v>
      </c>
      <c r="Z51" s="73">
        <f>SUM(Z38+Z43+Z45+Z46+Z47+Z49)</f>
        <v>75989</v>
      </c>
      <c r="AA51" s="229" t="s">
        <v>147</v>
      </c>
      <c r="AB51" s="181" t="s">
        <v>148</v>
      </c>
      <c r="AC51" s="230" t="s">
        <v>1251</v>
      </c>
      <c r="AD51" s="231"/>
    </row>
    <row r="52" spans="1:30" s="18" customFormat="1" ht="42" customHeight="1" thickBot="1" x14ac:dyDescent="0.25">
      <c r="A52" s="30" t="s">
        <v>1252</v>
      </c>
      <c r="B52" s="238" t="s">
        <v>146</v>
      </c>
      <c r="C52" s="239" t="s">
        <v>1253</v>
      </c>
      <c r="D52" s="240">
        <f>SUM(D35+D50-D51)</f>
        <v>764802</v>
      </c>
      <c r="E52" s="59" t="s">
        <v>1254</v>
      </c>
      <c r="F52" s="240">
        <f>SUM(F35+F50-F51)</f>
        <v>3444</v>
      </c>
      <c r="G52" s="241" t="s">
        <v>1255</v>
      </c>
      <c r="H52" s="118">
        <f>SUM(H35+H50-H51)</f>
        <v>0</v>
      </c>
      <c r="I52" s="241" t="s">
        <v>1256</v>
      </c>
      <c r="J52" s="240">
        <f>SUM(J35+J50-J51)</f>
        <v>57996</v>
      </c>
      <c r="K52" s="45" t="s">
        <v>1257</v>
      </c>
      <c r="L52" s="240">
        <f>SUM(L35+L50-L51)</f>
        <v>153760</v>
      </c>
      <c r="M52" s="45" t="s">
        <v>1258</v>
      </c>
      <c r="N52" s="240">
        <f>SUM(N35+N50-N51)</f>
        <v>40861</v>
      </c>
      <c r="O52" s="241" t="s">
        <v>1259</v>
      </c>
      <c r="P52" s="240">
        <f>SUM(P35+P50-P51)-1</f>
        <v>508075</v>
      </c>
      <c r="Q52" s="241" t="s">
        <v>1260</v>
      </c>
      <c r="R52" s="240">
        <f>SUM(R35+R50-R51)-1</f>
        <v>1528938</v>
      </c>
      <c r="S52" s="241" t="s">
        <v>1261</v>
      </c>
      <c r="T52" s="240">
        <f>SUM(T35+T50-T51)</f>
        <v>0</v>
      </c>
      <c r="U52" s="59" t="s">
        <v>1262</v>
      </c>
      <c r="V52" s="118">
        <f>SUM(V35+V50-V51)</f>
        <v>0</v>
      </c>
      <c r="W52" s="242" t="s">
        <v>1263</v>
      </c>
      <c r="X52" s="240">
        <f>+X35+X50-X51</f>
        <v>1427</v>
      </c>
      <c r="Y52" s="241" t="s">
        <v>1264</v>
      </c>
      <c r="Z52" s="240">
        <f>+Z35+Z50-Z51</f>
        <v>1427</v>
      </c>
      <c r="AA52" s="241" t="s">
        <v>1265</v>
      </c>
      <c r="AB52" s="240">
        <f t="shared" si="8"/>
        <v>1527511</v>
      </c>
      <c r="AC52" s="243" t="s">
        <v>1266</v>
      </c>
      <c r="AD52" s="244"/>
    </row>
    <row r="53" spans="1:30" x14ac:dyDescent="0.2">
      <c r="A53" s="12"/>
    </row>
    <row r="54" spans="1:30" x14ac:dyDescent="0.2">
      <c r="B54" s="313" t="s">
        <v>152</v>
      </c>
      <c r="C54" s="313"/>
      <c r="D54" s="313"/>
      <c r="F54" s="6"/>
      <c r="N54" s="6"/>
      <c r="R54" s="6"/>
      <c r="X54" s="6"/>
      <c r="Z54" s="313"/>
      <c r="AA54" s="313"/>
      <c r="AB54" s="313"/>
    </row>
    <row r="55" spans="1:30" x14ac:dyDescent="0.2">
      <c r="F55" s="6"/>
      <c r="J55" s="6"/>
      <c r="L55" s="6"/>
      <c r="R55" s="6"/>
      <c r="T55" s="6"/>
      <c r="V55" s="6"/>
      <c r="Z55" s="6"/>
    </row>
    <row r="56" spans="1:30" x14ac:dyDescent="0.2">
      <c r="B56" s="312" t="s">
        <v>1277</v>
      </c>
      <c r="C56" s="312"/>
      <c r="D56" s="312"/>
      <c r="X56" s="6"/>
      <c r="Z56" s="218"/>
      <c r="AA56" s="218"/>
      <c r="AB56" s="218"/>
    </row>
    <row r="57" spans="1:30" x14ac:dyDescent="0.2">
      <c r="N57" s="6"/>
      <c r="AB57" s="6"/>
    </row>
  </sheetData>
  <mergeCells count="20">
    <mergeCell ref="G9:G10"/>
    <mergeCell ref="I9:I10"/>
    <mergeCell ref="K9:K10"/>
    <mergeCell ref="M9:M10"/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</mergeCells>
  <pageMargins left="0.16" right="0.16" top="0.53" bottom="0.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bilans stanja</vt:lpstr>
      <vt:lpstr>bilans uspeha</vt:lpstr>
      <vt:lpstr>ostali rezultat</vt:lpstr>
      <vt:lpstr>tokovi gotovine</vt:lpstr>
      <vt:lpstr>promene na kapitalu</vt:lpstr>
      <vt:lpstr>'bilans uspeha'!Print_Area</vt:lpstr>
      <vt:lpstr>'bilans uspeha'!Print_Titles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r.cvijic</cp:lastModifiedBy>
  <cp:lastPrinted>2016-03-01T11:51:50Z</cp:lastPrinted>
  <dcterms:created xsi:type="dcterms:W3CDTF">2015-01-06T09:46:24Z</dcterms:created>
  <dcterms:modified xsi:type="dcterms:W3CDTF">2016-03-22T13:03:22Z</dcterms:modified>
</cp:coreProperties>
</file>